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2"/>
  </bookViews>
  <sheets>
    <sheet name="bieu 2-TT90" sheetId="1" r:id="rId1"/>
    <sheet name="bieu4-nguon khac" sheetId="2" r:id="rId2"/>
    <sheet name="bieu 3 Q1" sheetId="3" r:id="rId3"/>
    <sheet name="bieu 4 QI" sheetId="4" r:id="rId4"/>
    <sheet name="Sheet1" sheetId="5" r:id="rId5"/>
  </sheets>
  <definedNames>
    <definedName name="_xlnm.Print_Titles" localSheetId="2">'bieu 3 Q1'!$11:$12</definedName>
    <definedName name="_xlnm.Print_Titles" localSheetId="3">'bieu 4 QI'!$11:$12</definedName>
  </definedNames>
  <calcPr fullCalcOnLoad="1"/>
</workbook>
</file>

<file path=xl/sharedStrings.xml><?xml version="1.0" encoding="utf-8"?>
<sst xmlns="http://schemas.openxmlformats.org/spreadsheetml/2006/main" count="741" uniqueCount="361">
  <si>
    <t>TT</t>
  </si>
  <si>
    <t xml:space="preserve">Dự toán được giao </t>
  </si>
  <si>
    <t>I</t>
  </si>
  <si>
    <t>II</t>
  </si>
  <si>
    <t>Dự toán chi ngân sách nhà Nước</t>
  </si>
  <si>
    <t xml:space="preserve">THỦ TRƯỞNG ĐƠN VỊ </t>
  </si>
  <si>
    <t xml:space="preserve">Số liệu báo cáo
quyết toán </t>
  </si>
  <si>
    <t xml:space="preserve">Tiền quỹ nhân đạo </t>
  </si>
  <si>
    <t>Nội dung</t>
  </si>
  <si>
    <t>( Dùng cho đơn vị sử dụng ngân sách )</t>
  </si>
  <si>
    <t xml:space="preserve">Chi cho sư nghiệp giáo dục , đào tạo </t>
  </si>
  <si>
    <t xml:space="preserve">Dự toán 
năm </t>
  </si>
  <si>
    <t xml:space="preserve">CHƯƠNG : 622 , LOẠI:490                                                </t>
  </si>
  <si>
    <t xml:space="preserve">Số liệu 
quyết toán 
được duyệt </t>
  </si>
  <si>
    <t xml:space="preserve">CÔNG KHAI </t>
  </si>
  <si>
    <t xml:space="preserve">                                                                    Đvt:  dồng </t>
  </si>
  <si>
    <t xml:space="preserve">ĐƠN VI : TH AN ĐIỀN                                             </t>
  </si>
  <si>
    <t xml:space="preserve">Kinh phí tự chủ : </t>
  </si>
  <si>
    <t xml:space="preserve">Bổ sung chênh lệch lương tối thiểu </t>
  </si>
  <si>
    <t>Hoạt động thường xuyên,sửa chữa thường xuyên</t>
  </si>
  <si>
    <t xml:space="preserve">Kinh phí không tự chủ : </t>
  </si>
  <si>
    <t xml:space="preserve">ĐƠN VI : TH AN ĐIỀN                                                  </t>
  </si>
  <si>
    <t>Ước thực
hiện</t>
  </si>
  <si>
    <t xml:space="preserve">TRẦN QUANG KIỆT </t>
  </si>
  <si>
    <t xml:space="preserve">                                                                    Đvt: dồng </t>
  </si>
  <si>
    <t>Thu</t>
  </si>
  <si>
    <t xml:space="preserve">Tồn kỳ trước </t>
  </si>
  <si>
    <t xml:space="preserve">Chi </t>
  </si>
  <si>
    <t xml:space="preserve">Tồn </t>
  </si>
  <si>
    <t xml:space="preserve">Ghi chú </t>
  </si>
  <si>
    <t xml:space="preserve">LẬP BẢNG </t>
  </si>
  <si>
    <t>Tổng cộng :</t>
  </si>
  <si>
    <t xml:space="preserve">                                             Đvt:  dồng </t>
  </si>
  <si>
    <t xml:space="preserve">       Biểu số :04 - ban hành kèm theo thông tư số 90/2018/TT-BTC ngày 28 tháng 09 năm 2018 của Bộ Tài chính </t>
  </si>
  <si>
    <t>chênh
 lệch</t>
  </si>
  <si>
    <r>
      <t xml:space="preserve">Số quyết toán được duyệt chi tiết từng đơn vị trực thuộc </t>
    </r>
    <r>
      <rPr>
        <sz val="10"/>
        <rFont val="Arial"/>
        <family val="0"/>
      </rPr>
      <t>(nếu có đơn vị t rực thuộc)</t>
    </r>
  </si>
  <si>
    <t xml:space="preserve">                Biểu số :03 - Ban hành kèm theo thông tư số 90 ngày 28 tháng 09 năm 2018 của Bộ Tài chính </t>
  </si>
  <si>
    <t>CỘNG HOÀ XÃ HỘI CHỦ NGHĨA VIỆT NAM</t>
  </si>
  <si>
    <t>Độc lập - Tự do - Hạnh phúc</t>
  </si>
  <si>
    <t xml:space="preserve">   Căn cứ Nghị định số 163/2016 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</si>
  <si>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</si>
  <si>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 xml:space="preserve">ĐƠN VI : TH  AN ĐIỀN                                   </t>
  </si>
  <si>
    <t xml:space="preserve">Ước Thực
hiện/ Dự toán năm
( tỷ lệ %) </t>
  </si>
  <si>
    <t xml:space="preserve">    Biểu số :02 - ban hành kèm theo thông tư số 90/2018/TT-BTC ngày 28 tháng 09 năm 2018 của Bộ Tài chính </t>
  </si>
  <si>
    <t xml:space="preserve">Tổng kinh phí ngân sách nhà nước cấp </t>
  </si>
  <si>
    <t xml:space="preserve">              THỦ TRƯỞNG ĐƠN VỊ </t>
  </si>
  <si>
    <t>Ước Thực
hiện  năm nay so với cùng kỳ năm trước 
( tỷ lệ%)</t>
  </si>
  <si>
    <t>Chi tiền phí ATM</t>
  </si>
  <si>
    <t>Chi tiếp khách</t>
  </si>
  <si>
    <t xml:space="preserve">Trích lập quỹ khen thưởng </t>
  </si>
  <si>
    <t xml:space="preserve">Chi khác </t>
  </si>
  <si>
    <t xml:space="preserve">  DỰ TOÁN THU - CHI ĐIỀU CHỈNH NGÂN SÁCH NHÀ NƯỚC, NGUỒN KHÁC  </t>
  </si>
  <si>
    <t xml:space="preserve"> Tiền Lương</t>
  </si>
  <si>
    <t xml:space="preserve"> Lương theo ngạch ,bậc</t>
  </si>
  <si>
    <t>82,61*1.490*12th</t>
  </si>
  <si>
    <t>64,620*1490*12</t>
  </si>
  <si>
    <t>Tiền công trả cho hợp đồng NĐ68</t>
  </si>
  <si>
    <t xml:space="preserve"> Phụ cấp lương </t>
  </si>
  <si>
    <t xml:space="preserve">Phụ cấp CV </t>
  </si>
  <si>
    <t xml:space="preserve"> 3,05*1.490.12th</t>
  </si>
  <si>
    <t xml:space="preserve">Phụ cấp ưu đãi </t>
  </si>
  <si>
    <t xml:space="preserve"> 45,60790*1490*12</t>
  </si>
  <si>
    <t xml:space="preserve">Phụ cấp trách nhiệm </t>
  </si>
  <si>
    <t>0,2*1490*12</t>
  </si>
  <si>
    <t xml:space="preserve">Phụ cấp thâm niên </t>
  </si>
  <si>
    <t xml:space="preserve"> 21,484300*1.490*12th</t>
  </si>
  <si>
    <t xml:space="preserve">Phụ cấp vượt khung </t>
  </si>
  <si>
    <t xml:space="preserve"> 1,33980*1.490*12th</t>
  </si>
  <si>
    <t>BHXH</t>
  </si>
  <si>
    <t>17.5 %BHXH</t>
  </si>
  <si>
    <t xml:space="preserve"> BHYT</t>
  </si>
  <si>
    <t>3% BHYT</t>
  </si>
  <si>
    <t xml:space="preserve"> KP Công Đoàn</t>
  </si>
  <si>
    <t>2% KP Công Đoàn</t>
  </si>
  <si>
    <t>BH TN</t>
  </si>
  <si>
    <t>1% BH TN</t>
  </si>
  <si>
    <t xml:space="preserve">I .KINH PHÍ THƯỜNG XUYÊN </t>
  </si>
  <si>
    <t xml:space="preserve">I </t>
  </si>
  <si>
    <t xml:space="preserve">Thanh toán cá nhân </t>
  </si>
  <si>
    <t xml:space="preserve">II     .CHI  CÁC HOẠT ĐỘNG THƯỜNG XUYÊN </t>
  </si>
  <si>
    <t>Chi các khoản TT khác cho cá nhân</t>
  </si>
  <si>
    <t>Chi khác</t>
  </si>
  <si>
    <t>Chi  GV thể dục dạy ngoài trời .</t>
  </si>
  <si>
    <t>Chi dịch vụ công cộng</t>
  </si>
  <si>
    <t xml:space="preserve">Chi tiền điện </t>
  </si>
  <si>
    <t>Chi tiền điện 25triệu /th *12 th</t>
  </si>
  <si>
    <t xml:space="preserve">Chi tiền VSMT </t>
  </si>
  <si>
    <t xml:space="preserve">5000.000 đồng /tháng  x 12 tháng </t>
  </si>
  <si>
    <t>Chi vật tư văn phòng</t>
  </si>
  <si>
    <t>Chi văn phòng phẩm</t>
  </si>
  <si>
    <t>Chi VPP  5.000.000 th *12 th</t>
  </si>
  <si>
    <t xml:space="preserve">Chi mua CC,DC văn phòng </t>
  </si>
  <si>
    <t>Chi mua CC,DC 5.000.000 th *12th</t>
  </si>
  <si>
    <t xml:space="preserve">Mua  bàn ghế nhà ăn học sinh </t>
  </si>
  <si>
    <t>Mua 500 khay, 500muỗng, 500 chén,50 xô  bán trú</t>
  </si>
  <si>
    <t>Chi VTVP khác</t>
  </si>
  <si>
    <t>Chi VTVP khác 2.500.000 th*12</t>
  </si>
  <si>
    <t>Chi thông tin tuyên truyền</t>
  </si>
  <si>
    <t xml:space="preserve"> Cước phí điện thoại </t>
  </si>
  <si>
    <t>Chi Cước phí ĐT 2 máy 150.000 *12th</t>
  </si>
  <si>
    <t xml:space="preserve">Cước phí Internet </t>
  </si>
  <si>
    <t>Chi Cước phí Internet 568000 *12 th.</t>
  </si>
  <si>
    <t xml:space="preserve"> khoán điện thoại </t>
  </si>
  <si>
    <t>Chi khoán điện thoại 200.000*2người *12th</t>
  </si>
  <si>
    <t xml:space="preserve">Hội nghị </t>
  </si>
  <si>
    <t>Chi các khoản thuê khác phục vụ hội nghị</t>
  </si>
  <si>
    <t>Chi phí khác</t>
  </si>
  <si>
    <t>Chi công tác phí</t>
  </si>
  <si>
    <t>Tiền tàu xe</t>
  </si>
  <si>
    <t>Chi tiền tàu xe 2,500,000 x 12 th</t>
  </si>
  <si>
    <t xml:space="preserve">Phụ cấp  CTP </t>
  </si>
  <si>
    <t>Chi Phụ cấp 2,579,000 x 12 tháng</t>
  </si>
  <si>
    <t>Tiền thuê phòng ngủ</t>
  </si>
  <si>
    <t>Chi tiền phòng ngủ 500,000*12 th</t>
  </si>
  <si>
    <t xml:space="preserve"> Khoán CTP </t>
  </si>
  <si>
    <t>Chi Khoán CTP 500.000/ th*2ng*12th</t>
  </si>
  <si>
    <t>Chi Phí thuê mướn</t>
  </si>
  <si>
    <t>Thuê phương tiện vận chuyển</t>
  </si>
  <si>
    <t xml:space="preserve">1500,000 x 12 tháng </t>
  </si>
  <si>
    <t xml:space="preserve">Thuê mướn lao động trong nước </t>
  </si>
  <si>
    <t>Chi thuê 01BV 3.000.000 /th *12 th</t>
  </si>
  <si>
    <t>Chi thuê 01 CSCK*4 tr/th *12 th</t>
  </si>
  <si>
    <t xml:space="preserve"> Thuê đào tạo chuyên môn</t>
  </si>
  <si>
    <t xml:space="preserve">2,500.000 đ/tháng x 12 tháng </t>
  </si>
  <si>
    <t>Chi phí thuê mướn khác</t>
  </si>
  <si>
    <t>1.000.000 đồng /tháng x 12 th</t>
  </si>
  <si>
    <t>Chi sửa chữa thường xuyên</t>
  </si>
  <si>
    <t>Sửa chữa  nhà cửa</t>
  </si>
  <si>
    <t>2.500.000 đồng /tháng x12 th</t>
  </si>
  <si>
    <t xml:space="preserve">Sửa thiết bị công nghệ thông tin </t>
  </si>
  <si>
    <t>1000.000 đồng /tháng x12 th</t>
  </si>
  <si>
    <t xml:space="preserve">Sửa chữa tài sản ,thiết bị văn phòng </t>
  </si>
  <si>
    <t>Sửa chữa điện , cấp thoát nước</t>
  </si>
  <si>
    <t>8000,000 đồng /tháng x12 th</t>
  </si>
  <si>
    <t>Sửa chữa tài sản khác</t>
  </si>
  <si>
    <t>8,300,000 đồng /tháng x 12 th</t>
  </si>
  <si>
    <t>Chi nghiệp vụ chuyên môn</t>
  </si>
  <si>
    <t>Chi mua hàng hóa ,vật tư CM</t>
  </si>
  <si>
    <t xml:space="preserve">2,500,000 X 12 tháng </t>
  </si>
  <si>
    <t xml:space="preserve">Chi trang phục </t>
  </si>
  <si>
    <t>1,260,000 x 3 GVTD</t>
  </si>
  <si>
    <t xml:space="preserve">Chi  khác </t>
  </si>
  <si>
    <t xml:space="preserve">Chi khám sức khỏe hs 45,000 đồng /hs x 1600 hs </t>
  </si>
  <si>
    <t xml:space="preserve">Tập huấn , thi đấu HKPĐ </t>
  </si>
  <si>
    <t xml:space="preserve">Chi chuyên môn khác </t>
  </si>
  <si>
    <t>3000,000 đ/tháng x 12 th</t>
  </si>
  <si>
    <t xml:space="preserve">Chi mua sắm tài sản vô hình </t>
  </si>
  <si>
    <t>Chi mua, bảo trì phần mềm công nghệ 
tin học</t>
  </si>
  <si>
    <t xml:space="preserve">Bảo trì QLTS.2000,000 đồng ,phần mềm
kế toán misa 3000,000 đ, phần mềm trang web trường 3000,000 đồng ,phần mềm  QLHP 2,000,000 đồng .phần mềm diệt viruts máy tính .
</t>
  </si>
  <si>
    <t>CHI CÁC KHOẢN KHÁC</t>
  </si>
  <si>
    <t xml:space="preserve">150,000 x 12 tháng </t>
  </si>
  <si>
    <t xml:space="preserve">500000 x 12 tháng </t>
  </si>
  <si>
    <t xml:space="preserve">34 lớp x  400,000 /lớp </t>
  </si>
  <si>
    <t>khen thưởng giáo viên năm học 2018-2019</t>
  </si>
  <si>
    <t>Chi T H thân thiện , học sinh tích cực</t>
  </si>
  <si>
    <t xml:space="preserve">500.000 đ/tháng x 12 tháng </t>
  </si>
  <si>
    <t xml:space="preserve">Chi công tác Đảng </t>
  </si>
  <si>
    <t xml:space="preserve">Chi phụ cấp Bí thư chi bộ </t>
  </si>
  <si>
    <t xml:space="preserve">50.000 đồng /tháng * 12 tháng </t>
  </si>
  <si>
    <t>III</t>
  </si>
  <si>
    <t>KINH PHÍ CẢI CÁCH TIỀN LƯƠNG</t>
  </si>
  <si>
    <t>NGUỒN 14</t>
  </si>
  <si>
    <t xml:space="preserve">Chi cải cách tiền lương </t>
  </si>
  <si>
    <t>10% tiết kiệm CCTL</t>
  </si>
  <si>
    <t>Tổng cộng:13+14</t>
  </si>
  <si>
    <t>Tổng cộng:12+13+14</t>
  </si>
  <si>
    <t xml:space="preserve">Chi vật tư phòng chống </t>
  </si>
  <si>
    <t>dịch bệnh Covid -19</t>
  </si>
  <si>
    <t xml:space="preserve">Chi mua khẩu trang cho 1600 học sinh </t>
  </si>
  <si>
    <t xml:space="preserve">1600 cái x 7000 đồng/cái  </t>
  </si>
  <si>
    <t xml:space="preserve">Chi mua khẩu trang y tế cho giáo viên 57 gv-cvn
</t>
  </si>
  <si>
    <t xml:space="preserve"> 57 cái * 7.000 đồng/cái </t>
  </si>
  <si>
    <t xml:space="preserve">Chi mua nước rửa tay khô 
</t>
  </si>
  <si>
    <t>100 bình  * 150.000 đồng /bình</t>
  </si>
  <si>
    <t>Chi mua nước tẩy toilet</t>
  </si>
  <si>
    <t xml:space="preserve">10 thùng x 400,000 đ/thùng </t>
  </si>
  <si>
    <t xml:space="preserve">Chi mua túi đựng rác thải. </t>
  </si>
  <si>
    <t>50 kg x 40.000 đồng /kg</t>
  </si>
  <si>
    <t xml:space="preserve">Chi mua omo 400 g </t>
  </si>
  <si>
    <t>100 gói x 20,000 đồng /gói</t>
  </si>
  <si>
    <t>Chi mua nùi chùi rửa .</t>
  </si>
  <si>
    <t xml:space="preserve">50 cái  x 15,000 đồng /cái </t>
  </si>
  <si>
    <t xml:space="preserve">Chi mua găng tay y tế cho giáo viên và nhân viên 
 </t>
  </si>
  <si>
    <t xml:space="preserve"> 30 hộp * 75.000 đồng/hộp</t>
  </si>
  <si>
    <t xml:space="preserve">Chi mua cồn 70 độ dùng để sát khuẩn 
</t>
  </si>
  <si>
    <t xml:space="preserve">  20 lít *50.000 đồng /lít </t>
  </si>
  <si>
    <t xml:space="preserve">Chi mua nước rửa tay lifebuoy </t>
  </si>
  <si>
    <t xml:space="preserve">50,000 đồng/ chai x 268 chai </t>
  </si>
  <si>
    <t xml:space="preserve">Chi mua nước lau sàn Sunlight </t>
  </si>
  <si>
    <t xml:space="preserve">93,000 đồng /bình x 40 bình </t>
  </si>
  <si>
    <t>Chi mua máy đo thân nhiệt cơ thể .</t>
  </si>
  <si>
    <t xml:space="preserve">6 máy X  2,400,000 đồng /máy  </t>
  </si>
  <si>
    <t>Chi mua thùng đựng rác nhỏ bổ sung cho các lớp .</t>
  </si>
  <si>
    <t xml:space="preserve">34 cái  x 200,000 đồng/ cái  </t>
  </si>
  <si>
    <t>Chi mua một số thuốc thiết yếu và vật tư cho phòng y tế .</t>
  </si>
  <si>
    <t xml:space="preserve">Chi mua bồn rửa tay học sinh  bằng Inox 
</t>
  </si>
  <si>
    <r>
      <t xml:space="preserve">20 cái x 1,300,000 đồng </t>
    </r>
    <r>
      <rPr>
        <b/>
        <i/>
        <sz val="11"/>
        <rFont val="Times New Roman"/>
        <family val="1"/>
      </rPr>
      <t>/</t>
    </r>
    <r>
      <rPr>
        <i/>
        <sz val="11"/>
        <rFont val="Times New Roman"/>
        <family val="1"/>
      </rPr>
      <t xml:space="preserve">cái </t>
    </r>
  </si>
  <si>
    <t>Lương + các khoản theo lương</t>
  </si>
  <si>
    <t>Chi Tiền Lương</t>
  </si>
  <si>
    <t xml:space="preserve">Tiền thuê lao động trong nước </t>
  </si>
  <si>
    <t>Chi lương 4.729,400 * 8 GV *11tháng</t>
  </si>
  <si>
    <t>Chi các khoản đóng góp</t>
  </si>
  <si>
    <t>BHYT</t>
  </si>
  <si>
    <t>KP Công Đoàn</t>
  </si>
  <si>
    <t xml:space="preserve"> BH TN</t>
  </si>
  <si>
    <t>Chi hỗ trợ cho học sinh nghèo</t>
  </si>
  <si>
    <t>Chi phí hỗ trợ chi phí học tập HS</t>
  </si>
  <si>
    <t xml:space="preserve">15 học sinh nghèo x 100,000 x 9 tháng </t>
  </si>
  <si>
    <t>Thừa giờ năm học 2019-2020</t>
  </si>
  <si>
    <t>Chi hỗ trợ 2 Bảo vệ *600.000*12th</t>
  </si>
  <si>
    <t>Chi hỗ trợ 1 NVPV  x 500.000*12th</t>
  </si>
  <si>
    <t>Chi trợ cấp QĐ26  hs 6,570*1490*12th</t>
  </si>
  <si>
    <t>Chi hỗ trợ  20.11(49*200,000)</t>
  </si>
  <si>
    <t>Chi trợ cấp khác địa bàn 2 GV*900.000</t>
  </si>
  <si>
    <t>Chi hỗ trợ QĐ58/2014/QĐ-UBND</t>
  </si>
  <si>
    <t>Chi thuê đào tạo chuyên môn ( QĐ UBND tỉnh)</t>
  </si>
  <si>
    <t>Chi sửa chữa nhà cửa .</t>
  </si>
  <si>
    <t>Sửa chữa mái tôn ,chống thấm  sàn thư viện ,hành lang khối nhà ăn ,khối văn phòng ,thay tôn ,chống dột mái khu nhà ăn .</t>
  </si>
  <si>
    <t xml:space="preserve">Chi trang phục 2 Bảo vệ *600.000 </t>
  </si>
  <si>
    <t>Chi PCCC</t>
  </si>
  <si>
    <t>Chi tiền tết (2.000.000/ng x 57 người  )</t>
  </si>
  <si>
    <t>Chi mua sắm tài sản,CCDC</t>
  </si>
  <si>
    <t>Mua sắm công cụ dụng cụ</t>
  </si>
  <si>
    <t xml:space="preserve">Mua 130 bộ bàn ghế học sinh  bán trú </t>
  </si>
  <si>
    <t>Mua sắm tài sản</t>
  </si>
  <si>
    <t>Mua 01 máy in đề thi  siêu tốc .</t>
  </si>
  <si>
    <t>Tổng Cộng</t>
  </si>
  <si>
    <t>Trương Thị Thanh Nhàn</t>
  </si>
  <si>
    <t xml:space="preserve">Tiền quỹ khuyến học </t>
  </si>
  <si>
    <t>Tiền chăm sóc sức khỏe  học sinh</t>
  </si>
  <si>
    <t>BHTN</t>
  </si>
  <si>
    <t>Phù hiệu</t>
  </si>
  <si>
    <t>Đồ dùng cá nhân</t>
  </si>
  <si>
    <t>Hai buổi</t>
  </si>
  <si>
    <t>tiền ăn</t>
  </si>
  <si>
    <t>bán trú</t>
  </si>
  <si>
    <t>nước</t>
  </si>
  <si>
    <t xml:space="preserve">  An Điền   , ngày     tháng     năm 2020</t>
  </si>
  <si>
    <t>CÔNG KHAI TÀI CHÍNH
 NĂM 2020</t>
  </si>
  <si>
    <t xml:space="preserve">  QUYẾT TOÁN THU- CHI NGUỒN KHÁC THÁNG 10 - NĂM 2020</t>
  </si>
  <si>
    <t xml:space="preserve">Tiền CSSK BAN ĐẦU </t>
  </si>
  <si>
    <t>Tiền ăn</t>
  </si>
  <si>
    <t>Bán trú</t>
  </si>
  <si>
    <t>hai buổi</t>
  </si>
  <si>
    <t>nước học sinh</t>
  </si>
  <si>
    <t>Quỹ hội CMHS</t>
  </si>
  <si>
    <t xml:space="preserve">Tổng cộng </t>
  </si>
  <si>
    <t>Phòng chống dịch covid-19</t>
  </si>
  <si>
    <t>Lương và các khoản đóng góp</t>
  </si>
  <si>
    <t>chi thuê mướn đào tạo</t>
  </si>
  <si>
    <t xml:space="preserve">Hỗ trợ chi phí học tập </t>
  </si>
  <si>
    <t>Số học sinh:1717</t>
  </si>
  <si>
    <t xml:space="preserve"> NĂM 2021</t>
  </si>
  <si>
    <t>Số giáo viên,công nhân viên  :60</t>
  </si>
  <si>
    <t>Chi lương và các khoản phụ cấp theo lương 
1.210.000 đồng</t>
  </si>
  <si>
    <t>Chi lương và các khoản phụ cấp theo lương huy động 1.210.000 đồng lên 1.490.000 đồng</t>
  </si>
  <si>
    <t>Lương NĐ 68</t>
  </si>
  <si>
    <t>chi giải quyết việc làm (NĐ 108)</t>
  </si>
  <si>
    <t xml:space="preserve"> ( kèm theo quyết đính số  : 03 ngày  16 / 01 / 2021 của Hiệu trưởng trường tiểu học An Điền )</t>
  </si>
  <si>
    <t xml:space="preserve">       An Điền   , ngày  18   tháng  01 năm 2021</t>
  </si>
  <si>
    <t>Kinh phí nhiệm vụ  thường xuyên năm 2021</t>
  </si>
  <si>
    <t>CÔNG KHAI THỰC HIỆN DỰ TOÁN THU- CHI NGÂN SÁCH QUÍ 1 NĂM 2021</t>
  </si>
  <si>
    <t>Chi vật tư phòng chống dịch Covid</t>
  </si>
  <si>
    <t xml:space="preserve">Mua vật rư văn phòng chống dịch Covid theo công văn 485 của sở y tế : Chi mua máy đo nhiệt độ, găng tay y tế, xà phòng, dung dịch vệ sinh,khẩu trang, nước rửa tay , thùng rác có nắp đậy, bồn rửa tay … </t>
  </si>
  <si>
    <t>Tiền lương giáo viên hợp đồng dưới 
12 tháng</t>
  </si>
  <si>
    <t>Chi hỗ trợ thừa giờ</t>
  </si>
  <si>
    <t>Chi hỗ trợ bảo vệ 
 (600,000 x 12 tháng x 2 bảo vệ )</t>
  </si>
  <si>
    <t>Chi hỗ trợ nhân viên phục vụ 
 (500,000 x 12 tháng x 1 nhân viên )</t>
  </si>
  <si>
    <t xml:space="preserve">Chi  khác 30% giáo viên không đứng lớp </t>
  </si>
  <si>
    <t>Chi  hỗ trợ 20/11</t>
  </si>
  <si>
    <t xml:space="preserve">Chi  hỗ trợ khác địa bàn </t>
  </si>
  <si>
    <t>Chi  hỗ trợ nhà trọ</t>
  </si>
  <si>
    <t>Chi  hỗ trợ thạc sỉ (hs 1,5x12 x1,490)</t>
  </si>
  <si>
    <t>Chi  hỗ trợ QĐ 58 ( vượt 42 hs</t>
  </si>
  <si>
    <t>Chi hỗ trợ nghỉ hưu theo NQ 15/2018</t>
  </si>
  <si>
    <t>Chi tiền tết năm 2021</t>
  </si>
  <si>
    <t>Chi giải quyết việc làm</t>
  </si>
  <si>
    <t>Chi hỗ trợ nghỉ hưu 108</t>
  </si>
  <si>
    <t>CỘNG</t>
  </si>
  <si>
    <t>TM</t>
  </si>
  <si>
    <t>Tên mục</t>
  </si>
  <si>
    <t>Nguồn 13</t>
  </si>
  <si>
    <t>Cộng :</t>
  </si>
  <si>
    <t xml:space="preserve"> Lương theo ngạch ,bậc (1.210.000) 
(158,92)</t>
  </si>
  <si>
    <t xml:space="preserve"> Lương theo ngạch ,bậc (280.000)</t>
  </si>
  <si>
    <t xml:space="preserve">Tiền công trả cho hợp đồng NĐ68 </t>
  </si>
  <si>
    <t>Phụ cấp CV  (1.210.000)(hs 3,6)</t>
  </si>
  <si>
    <t>Phụ cấp CV  (280.000)</t>
  </si>
  <si>
    <t>Phụ cấp ưu đãi (1.210.000)(hs 49,9994)</t>
  </si>
  <si>
    <t>Phụ cấp ưu đãi (280.000)</t>
  </si>
  <si>
    <t>Phụ cấp trách nhiệm  (1.210.000)( hs 0,3)</t>
  </si>
  <si>
    <t>Phụ cấp trách nhiệm  (280.000)</t>
  </si>
  <si>
    <t>Phụ cấp thâm niên,  Phụ cấp vượt khung
  (1,210,000) (hs 1,421)</t>
  </si>
  <si>
    <t>Phụ cấp thâm niên,  Phụ cấp vượt khung
  (280,000)</t>
  </si>
  <si>
    <t>Các khoản đóng góp 23,5%</t>
  </si>
  <si>
    <t>BHXH (1.210.000)</t>
  </si>
  <si>
    <t xml:space="preserve"> BHYT (1.210.000)</t>
  </si>
  <si>
    <t xml:space="preserve"> KP Công Đoàn (1.210.000)</t>
  </si>
  <si>
    <t>BH TN(1.210.000)</t>
  </si>
  <si>
    <t>BHXH (280.000)</t>
  </si>
  <si>
    <t xml:space="preserve"> BHYT (280.000)</t>
  </si>
  <si>
    <t xml:space="preserve"> KP Công Đoàn (280.000)</t>
  </si>
  <si>
    <t>BH TN(280.000)</t>
  </si>
  <si>
    <t xml:space="preserve">2  .CHI  CÁC HOẠT ĐỘNG THƯỜNG XUYÊN </t>
  </si>
  <si>
    <t xml:space="preserve">Chi giáo viên thể dục ngoài trời </t>
  </si>
  <si>
    <t>Mua 10 xe đẩy thức ăn</t>
  </si>
  <si>
    <t>Mua  5 xe đẩy thức ăn thừa</t>
  </si>
  <si>
    <t>Chi phí thuê mướn khác 
( thuê nhân viên quét dọn, bảo vệ , chăm sóc cây xanh …)</t>
  </si>
  <si>
    <t>Chi trang phục giáo viên thể dục</t>
  </si>
  <si>
    <t>chi khám sức khỏe học sinh</t>
  </si>
  <si>
    <t>Trích lập quỹ khen thưởng học sinh</t>
  </si>
  <si>
    <t>Trích lập quỹ khen thưởng giáo viên</t>
  </si>
  <si>
    <t xml:space="preserve">Chi mua cây xanh </t>
  </si>
  <si>
    <t>Huy động từ căn tin</t>
  </si>
  <si>
    <t>Tổng cộng: NGUỒN 13+14</t>
  </si>
  <si>
    <t xml:space="preserve">  An Điền   , ngày 2  tháng  4 năm 2021</t>
  </si>
  <si>
    <t xml:space="preserve">            QUYẾT TOÁN THU- CHI NSNN QUÍ 1- NĂM 2021</t>
  </si>
  <si>
    <t xml:space="preserve"> ( kèm theo quyết đính số : 13 ngày 02    / 04  / 2021 của Hiệu trưởng trường tiểu học An Điền )</t>
  </si>
  <si>
    <t xml:space="preserve">   Trường tiểu học An Điền  công khai tình hình thực hiện dự toán thu - chi ngân sách  quý 1 năm 2021 như sau :</t>
  </si>
  <si>
    <t xml:space="preserve">  QUYẾT TOÁN THU- CHI NGUỒN KHÁC THÁNG 1 - NĂM 2021</t>
  </si>
  <si>
    <t>Số</t>
  </si>
  <si>
    <t>Số tiền</t>
  </si>
  <si>
    <t>Ghi chú</t>
  </si>
  <si>
    <t>LOẠI QUỸ</t>
  </si>
  <si>
    <t xml:space="preserve"> Tồn</t>
  </si>
  <si>
    <t xml:space="preserve">Thu </t>
  </si>
  <si>
    <t>Tồn</t>
  </si>
  <si>
    <t xml:space="preserve">kỳ trước </t>
  </si>
  <si>
    <t>A</t>
  </si>
  <si>
    <t xml:space="preserve"> E </t>
  </si>
  <si>
    <t xml:space="preserve"> G </t>
  </si>
  <si>
    <t xml:space="preserve"> Tiền quỹ khuyến học  </t>
  </si>
  <si>
    <t xml:space="preserve"> Tiền quỹ nhân đạo  </t>
  </si>
  <si>
    <t xml:space="preserve"> Tiền CSSK BAN ĐẦU  </t>
  </si>
  <si>
    <t xml:space="preserve"> BHYT </t>
  </si>
  <si>
    <t xml:space="preserve"> BHTN </t>
  </si>
  <si>
    <t xml:space="preserve">                         -   </t>
  </si>
  <si>
    <t xml:space="preserve">                            -   </t>
  </si>
  <si>
    <t xml:space="preserve"> Phù hiệu </t>
  </si>
  <si>
    <t xml:space="preserve"> Đồ dùng cá nhân </t>
  </si>
  <si>
    <t xml:space="preserve"> Tiền ăn </t>
  </si>
  <si>
    <t xml:space="preserve"> Bán trú </t>
  </si>
  <si>
    <t xml:space="preserve"> hai buổi </t>
  </si>
  <si>
    <t xml:space="preserve"> nước học sinh </t>
  </si>
  <si>
    <t xml:space="preserve"> Quỹ hội CMHS </t>
  </si>
  <si>
    <t xml:space="preserve"> Tổng cộng  </t>
  </si>
  <si>
    <t xml:space="preserve">                                Ngày   29  tháng 1 năm 2021</t>
  </si>
  <si>
    <t xml:space="preserve">       Thủ quỹ</t>
  </si>
  <si>
    <t xml:space="preserve">Kế toán </t>
  </si>
  <si>
    <t xml:space="preserve">Hiệu trưởng </t>
  </si>
  <si>
    <t xml:space="preserve">Nguyễn Thị Mỹ Trinh </t>
  </si>
  <si>
    <t>Trương Thị thanh Nhàn</t>
  </si>
  <si>
    <t xml:space="preserve"> Trần Quang Kiệt  </t>
  </si>
  <si>
    <t>Số 
TT</t>
  </si>
  <si>
    <t xml:space="preserve"> Tồn 
kỳ trước </t>
  </si>
  <si>
    <t>E</t>
  </si>
  <si>
    <t>G</t>
  </si>
  <si>
    <t xml:space="preserve">                                Ngày   28 tháng  2 năm 2021</t>
  </si>
  <si>
    <t xml:space="preserve">                                Ngày   30 tháng  3 năm 2021</t>
  </si>
  <si>
    <t xml:space="preserve">  QUYẾT TOÁN THU- CHI NGUỒN KHÁC THÁNG 2 - NĂM 2021</t>
  </si>
  <si>
    <t xml:space="preserve">  QUYẾT TOÁN THU- CHI NGUỒN KHÁC THÁNG 3 - NĂM 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</si>
</sst>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_(* #,##0_);_(* \(#,##0\);_(* \-??_);_(@_)"/>
  </numFmts>
  <fonts count="89">
    <font>
      <sz val="10"/>
      <name val="Arial"/>
      <family val="0"/>
    </font>
    <font>
      <b/>
      <sz val="10"/>
      <name val="Arial"/>
      <family val="2"/>
    </font>
    <font>
      <b/>
      <sz val="14"/>
      <name val="Arial"/>
      <family val="2"/>
    </font>
    <font>
      <b/>
      <sz val="12"/>
      <name val="Arial"/>
      <family val="2"/>
    </font>
    <font>
      <sz val="12"/>
      <name val="Arial"/>
      <family val="2"/>
    </font>
    <font>
      <i/>
      <sz val="12"/>
      <name val="Arial"/>
      <family val="2"/>
    </font>
    <font>
      <b/>
      <sz val="12"/>
      <name val="VNI-Times"/>
      <family val="0"/>
    </font>
    <font>
      <i/>
      <sz val="10"/>
      <name val="Arial"/>
      <family val="2"/>
    </font>
    <font>
      <b/>
      <sz val="18"/>
      <name val="Arial"/>
      <family val="2"/>
    </font>
    <font>
      <b/>
      <sz val="11"/>
      <name val="Arial"/>
      <family val="2"/>
    </font>
    <font>
      <sz val="14"/>
      <name val="Arial"/>
      <family val="2"/>
    </font>
    <font>
      <b/>
      <i/>
      <sz val="10"/>
      <name val="Arial"/>
      <family val="2"/>
    </font>
    <font>
      <sz val="10"/>
      <name val="VNI-Times"/>
      <family val="0"/>
    </font>
    <font>
      <i/>
      <sz val="10"/>
      <name val="Times New Roman"/>
      <family val="1"/>
    </font>
    <font>
      <b/>
      <sz val="10"/>
      <name val="VNI-Times"/>
      <family val="0"/>
    </font>
    <font>
      <sz val="11"/>
      <name val="VNI-Times"/>
      <family val="0"/>
    </font>
    <font>
      <i/>
      <sz val="11"/>
      <name val="Times New Roman"/>
      <family val="1"/>
    </font>
    <font>
      <sz val="11"/>
      <name val="Times New Roman"/>
      <family val="1"/>
    </font>
    <font>
      <sz val="11"/>
      <color indexed="8"/>
      <name val="Times New Roman"/>
      <family val="1"/>
    </font>
    <font>
      <b/>
      <sz val="11"/>
      <name val="Times New Roman"/>
      <family val="1"/>
    </font>
    <font>
      <b/>
      <sz val="10"/>
      <name val="Times New Roman"/>
      <family val="1"/>
    </font>
    <font>
      <b/>
      <sz val="10"/>
      <color indexed="10"/>
      <name val="Times New Roman"/>
      <family val="1"/>
    </font>
    <font>
      <b/>
      <sz val="11"/>
      <color indexed="10"/>
      <name val="Times New Roman"/>
      <family val="1"/>
    </font>
    <font>
      <b/>
      <sz val="11"/>
      <color indexed="8"/>
      <name val="Times New Roman"/>
      <family val="1"/>
    </font>
    <font>
      <b/>
      <sz val="9"/>
      <name val="Times New Roman"/>
      <family val="1"/>
    </font>
    <font>
      <sz val="12"/>
      <name val="VNI-Times"/>
      <family val="0"/>
    </font>
    <font>
      <sz val="11"/>
      <color indexed="10"/>
      <name val="Times New Roman"/>
      <family val="1"/>
    </font>
    <font>
      <b/>
      <i/>
      <sz val="10"/>
      <name val="Times New Roman"/>
      <family val="1"/>
    </font>
    <font>
      <b/>
      <sz val="12"/>
      <name val="Times New Roman"/>
      <family val="1"/>
    </font>
    <font>
      <i/>
      <sz val="12"/>
      <name val="Times New Roman"/>
      <family val="1"/>
    </font>
    <font>
      <b/>
      <i/>
      <sz val="11"/>
      <name val="Times New Roman"/>
      <family val="1"/>
    </font>
    <font>
      <sz val="12"/>
      <name val="Times New Roman"/>
      <family val="1"/>
    </font>
    <font>
      <b/>
      <sz val="14"/>
      <name val="Times New Roman"/>
      <family val="1"/>
    </font>
    <font>
      <b/>
      <i/>
      <sz val="12"/>
      <name val="Arial"/>
      <family val="2"/>
    </font>
    <font>
      <b/>
      <sz val="9"/>
      <color indexed="8"/>
      <name val="Arial Narrow"/>
      <family val="2"/>
    </font>
    <font>
      <sz val="10"/>
      <name val="Times New Roman"/>
      <family val="1"/>
    </font>
    <font>
      <b/>
      <sz val="36"/>
      <name val="Times New Roman"/>
      <family val="1"/>
    </font>
    <font>
      <sz val="8"/>
      <name val="Times New Roman"/>
      <family val="1"/>
    </font>
    <font>
      <sz val="8"/>
      <color indexed="8"/>
      <name val="Arial"/>
      <family val="2"/>
    </font>
    <font>
      <b/>
      <sz val="16"/>
      <name val="Times New Roman"/>
      <family val="1"/>
    </font>
    <font>
      <b/>
      <i/>
      <sz val="16"/>
      <name val="Times New Roman"/>
      <family val="1"/>
    </font>
    <font>
      <b/>
      <i/>
      <sz val="14"/>
      <name val="Times New Roman"/>
      <family val="1"/>
    </font>
    <font>
      <sz val="14"/>
      <name val="Times New Roman"/>
      <family val="1"/>
    </font>
    <font>
      <b/>
      <sz val="20"/>
      <name val="Times New Roman"/>
      <family val="1"/>
    </font>
    <font>
      <sz val="20"/>
      <name val="Times New Roman"/>
      <family val="1"/>
    </font>
    <font>
      <b/>
      <sz val="12"/>
      <color indexed="8"/>
      <name val="Times New Roman"/>
      <family val="1"/>
    </font>
    <font>
      <sz val="10"/>
      <color indexed="8"/>
      <name val="Arial"/>
      <family val="2"/>
    </font>
    <font>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color rgb="FF000000"/>
      </bottom>
    </border>
    <border>
      <left>
        <color indexed="63"/>
      </left>
      <right style="medium"/>
      <top>
        <color indexed="63"/>
      </top>
      <bottom style="medium"/>
    </border>
    <border>
      <left>
        <color indexed="63"/>
      </left>
      <right style="medium"/>
      <top>
        <color indexed="63"/>
      </top>
      <bottom style="medium">
        <color rgb="FF000000"/>
      </botto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73">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3" fontId="6" fillId="0" borderId="10" xfId="0" applyNumberFormat="1" applyFont="1" applyBorder="1" applyAlignment="1">
      <alignment/>
    </xf>
    <xf numFmtId="175" fontId="3" fillId="0" borderId="10" xfId="42" applyNumberFormat="1" applyFont="1" applyBorder="1" applyAlignment="1">
      <alignment/>
    </xf>
    <xf numFmtId="175" fontId="0" fillId="0" borderId="10" xfId="42" applyNumberFormat="1" applyFont="1" applyBorder="1" applyAlignment="1">
      <alignment/>
    </xf>
    <xf numFmtId="0" fontId="8" fillId="0" borderId="0" xfId="0" applyFont="1" applyAlignment="1">
      <alignment horizontal="center"/>
    </xf>
    <xf numFmtId="0" fontId="9" fillId="0" borderId="10" xfId="0" applyFont="1" applyBorder="1" applyAlignment="1">
      <alignment horizontal="center"/>
    </xf>
    <xf numFmtId="0" fontId="1" fillId="0" borderId="10" xfId="0" applyFont="1" applyBorder="1" applyAlignment="1">
      <alignment horizontal="center"/>
    </xf>
    <xf numFmtId="0" fontId="10" fillId="0" borderId="10" xfId="0" applyFont="1" applyBorder="1" applyAlignment="1">
      <alignment/>
    </xf>
    <xf numFmtId="0" fontId="3" fillId="0" borderId="0" xfId="0" applyFont="1" applyAlignment="1">
      <alignment horizontal="center"/>
    </xf>
    <xf numFmtId="0" fontId="5"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0" fillId="0" borderId="11" xfId="0" applyBorder="1" applyAlignment="1">
      <alignment/>
    </xf>
    <xf numFmtId="175" fontId="4" fillId="0" borderId="10" xfId="42" applyNumberFormat="1" applyFont="1" applyBorder="1" applyAlignment="1">
      <alignment/>
    </xf>
    <xf numFmtId="0" fontId="0" fillId="0" borderId="10" xfId="0" applyFont="1" applyBorder="1" applyAlignment="1">
      <alignment/>
    </xf>
    <xf numFmtId="0" fontId="0" fillId="0" borderId="0" xfId="0" applyFont="1" applyAlignment="1">
      <alignment/>
    </xf>
    <xf numFmtId="49" fontId="3" fillId="0" borderId="12" xfId="0" applyNumberFormat="1" applyFont="1" applyBorder="1" applyAlignment="1">
      <alignment horizontal="center"/>
    </xf>
    <xf numFmtId="0" fontId="0" fillId="0" borderId="10" xfId="0" applyFont="1" applyBorder="1" applyAlignment="1">
      <alignment horizontal="center"/>
    </xf>
    <xf numFmtId="0" fontId="4" fillId="0" borderId="0" xfId="0" applyFont="1" applyAlignment="1">
      <alignment/>
    </xf>
    <xf numFmtId="0" fontId="9" fillId="0" borderId="0" xfId="0" applyFont="1" applyAlignment="1">
      <alignment horizontal="left"/>
    </xf>
    <xf numFmtId="175" fontId="0" fillId="0" borderId="0" xfId="42" applyNumberFormat="1" applyFont="1" applyAlignment="1">
      <alignment/>
    </xf>
    <xf numFmtId="175" fontId="1" fillId="0" borderId="10" xfId="0" applyNumberFormat="1" applyFont="1" applyBorder="1" applyAlignment="1">
      <alignment/>
    </xf>
    <xf numFmtId="175" fontId="0" fillId="0" borderId="10" xfId="0" applyNumberFormat="1" applyFont="1" applyBorder="1" applyAlignment="1">
      <alignment/>
    </xf>
    <xf numFmtId="175" fontId="1" fillId="0" borderId="0" xfId="42" applyNumberFormat="1" applyFont="1" applyAlignment="1">
      <alignment/>
    </xf>
    <xf numFmtId="0" fontId="0" fillId="0" borderId="13" xfId="0" applyFont="1" applyBorder="1" applyAlignment="1">
      <alignment/>
    </xf>
    <xf numFmtId="0" fontId="1" fillId="0" borderId="0" xfId="0" applyFont="1" applyAlignment="1">
      <alignment horizontal="center"/>
    </xf>
    <xf numFmtId="0" fontId="1" fillId="0" borderId="0" xfId="0" applyFont="1" applyAlignment="1">
      <alignment/>
    </xf>
    <xf numFmtId="175" fontId="1" fillId="0" borderId="10" xfId="42" applyNumberFormat="1" applyFont="1" applyBorder="1" applyAlignment="1">
      <alignment/>
    </xf>
    <xf numFmtId="3" fontId="14" fillId="0" borderId="10" xfId="0" applyNumberFormat="1" applyFont="1" applyBorder="1" applyAlignment="1">
      <alignment horizontal="right"/>
    </xf>
    <xf numFmtId="175" fontId="0" fillId="0" borderId="0" xfId="42" applyNumberFormat="1" applyFont="1" applyAlignment="1">
      <alignment/>
    </xf>
    <xf numFmtId="0" fontId="1" fillId="0" borderId="10" xfId="0" applyFont="1" applyBorder="1" applyAlignment="1">
      <alignment horizontal="left"/>
    </xf>
    <xf numFmtId="175" fontId="0" fillId="0" borderId="10" xfId="42" applyNumberFormat="1" applyFont="1" applyBorder="1" applyAlignment="1">
      <alignment/>
    </xf>
    <xf numFmtId="175" fontId="0" fillId="0" borderId="0" xfId="0" applyNumberFormat="1" applyFont="1" applyAlignment="1">
      <alignment/>
    </xf>
    <xf numFmtId="181" fontId="17" fillId="0" borderId="10" xfId="42" applyNumberFormat="1" applyFont="1" applyBorder="1" applyAlignment="1">
      <alignment horizontal="right"/>
    </xf>
    <xf numFmtId="3" fontId="18" fillId="0" borderId="10" xfId="0" applyNumberFormat="1" applyFont="1" applyBorder="1" applyAlignment="1">
      <alignment/>
    </xf>
    <xf numFmtId="3" fontId="17" fillId="0" borderId="10" xfId="59" applyNumberFormat="1" applyFont="1" applyBorder="1">
      <alignment/>
      <protection/>
    </xf>
    <xf numFmtId="175" fontId="18" fillId="33" borderId="10" xfId="42" applyNumberFormat="1" applyFont="1" applyFill="1" applyBorder="1" applyAlignment="1">
      <alignment/>
    </xf>
    <xf numFmtId="175" fontId="18" fillId="0" borderId="10" xfId="42" applyNumberFormat="1" applyFont="1" applyBorder="1" applyAlignment="1">
      <alignment/>
    </xf>
    <xf numFmtId="3" fontId="17" fillId="34" borderId="10" xfId="59" applyNumberFormat="1" applyFont="1" applyFill="1" applyBorder="1">
      <alignment/>
      <protection/>
    </xf>
    <xf numFmtId="0" fontId="13" fillId="0" borderId="10" xfId="59" applyFont="1" applyBorder="1">
      <alignment/>
      <protection/>
    </xf>
    <xf numFmtId="175" fontId="0" fillId="0" borderId="0" xfId="0" applyNumberFormat="1" applyAlignment="1">
      <alignment/>
    </xf>
    <xf numFmtId="0" fontId="19" fillId="0" borderId="10" xfId="59" applyFont="1" applyFill="1" applyBorder="1" applyAlignment="1">
      <alignment horizontal="left"/>
      <protection/>
    </xf>
    <xf numFmtId="3" fontId="19" fillId="0" borderId="10" xfId="59" applyNumberFormat="1" applyFont="1" applyFill="1" applyBorder="1" applyAlignment="1">
      <alignment horizontal="left"/>
      <protection/>
    </xf>
    <xf numFmtId="0" fontId="19" fillId="0" borderId="10" xfId="59" applyFont="1" applyFill="1" applyBorder="1" applyAlignment="1">
      <alignment horizontal="center"/>
      <protection/>
    </xf>
    <xf numFmtId="3" fontId="20" fillId="0" borderId="10" xfId="59" applyNumberFormat="1" applyFont="1" applyFill="1" applyBorder="1">
      <alignment/>
      <protection/>
    </xf>
    <xf numFmtId="3" fontId="21" fillId="0" borderId="10" xfId="59" applyNumberFormat="1" applyFont="1" applyFill="1" applyBorder="1">
      <alignment/>
      <protection/>
    </xf>
    <xf numFmtId="0" fontId="19" fillId="0" borderId="10" xfId="59" applyFont="1" applyBorder="1" applyAlignment="1">
      <alignment horizontal="center"/>
      <protection/>
    </xf>
    <xf numFmtId="0" fontId="17" fillId="0" borderId="10" xfId="59" applyFont="1" applyBorder="1" applyAlignment="1">
      <alignment horizontal="center"/>
      <protection/>
    </xf>
    <xf numFmtId="0" fontId="16" fillId="0" borderId="10" xfId="0" applyFont="1" applyBorder="1" applyAlignment="1">
      <alignment/>
    </xf>
    <xf numFmtId="3" fontId="19" fillId="0" borderId="10" xfId="59" applyNumberFormat="1" applyFont="1" applyBorder="1">
      <alignment/>
      <protection/>
    </xf>
    <xf numFmtId="3" fontId="22" fillId="0" borderId="10" xfId="59" applyNumberFormat="1" applyFont="1" applyBorder="1">
      <alignment/>
      <protection/>
    </xf>
    <xf numFmtId="3" fontId="23" fillId="0" borderId="10" xfId="59" applyNumberFormat="1" applyFont="1" applyBorder="1">
      <alignment/>
      <protection/>
    </xf>
    <xf numFmtId="0" fontId="16" fillId="0" borderId="10" xfId="59" applyFont="1" applyBorder="1">
      <alignment/>
      <protection/>
    </xf>
    <xf numFmtId="0" fontId="24" fillId="0" borderId="10" xfId="59" applyFont="1" applyBorder="1" applyAlignment="1">
      <alignment horizontal="center"/>
      <protection/>
    </xf>
    <xf numFmtId="3" fontId="19" fillId="0" borderId="10" xfId="59" applyNumberFormat="1" applyFont="1" applyFill="1" applyBorder="1">
      <alignment/>
      <protection/>
    </xf>
    <xf numFmtId="3" fontId="22" fillId="0" borderId="10" xfId="59" applyNumberFormat="1" applyFont="1" applyFill="1" applyBorder="1">
      <alignment/>
      <protection/>
    </xf>
    <xf numFmtId="0" fontId="13" fillId="0" borderId="10" xfId="0" applyFont="1" applyBorder="1" applyAlignment="1">
      <alignment/>
    </xf>
    <xf numFmtId="3" fontId="17" fillId="0" borderId="10" xfId="0" applyNumberFormat="1" applyFont="1" applyBorder="1" applyAlignment="1">
      <alignment/>
    </xf>
    <xf numFmtId="0" fontId="19" fillId="0" borderId="10" xfId="59" applyFont="1" applyBorder="1">
      <alignment/>
      <protection/>
    </xf>
    <xf numFmtId="0" fontId="17" fillId="33" borderId="10" xfId="58" applyFont="1" applyFill="1" applyBorder="1">
      <alignment/>
      <protection/>
    </xf>
    <xf numFmtId="175" fontId="15" fillId="33" borderId="10" xfId="44" applyNumberFormat="1" applyFont="1" applyFill="1" applyBorder="1" applyAlignment="1">
      <alignment horizontal="center"/>
    </xf>
    <xf numFmtId="175" fontId="17" fillId="0" borderId="10" xfId="42" applyNumberFormat="1" applyFont="1" applyBorder="1" applyAlignment="1">
      <alignment/>
    </xf>
    <xf numFmtId="0" fontId="17" fillId="0" borderId="10" xfId="59" applyFont="1" applyBorder="1">
      <alignment/>
      <protection/>
    </xf>
    <xf numFmtId="0" fontId="13" fillId="0" borderId="10" xfId="0" applyFont="1" applyBorder="1" applyAlignment="1">
      <alignment wrapText="1"/>
    </xf>
    <xf numFmtId="0" fontId="20" fillId="0" borderId="10" xfId="59" applyFont="1" applyFill="1" applyBorder="1" applyAlignment="1">
      <alignment horizontal="center"/>
      <protection/>
    </xf>
    <xf numFmtId="3" fontId="23" fillId="33" borderId="10" xfId="59" applyNumberFormat="1" applyFont="1" applyFill="1" applyBorder="1">
      <alignment/>
      <protection/>
    </xf>
    <xf numFmtId="3" fontId="26" fillId="0" borderId="10" xfId="59" applyNumberFormat="1" applyFont="1" applyBorder="1">
      <alignment/>
      <protection/>
    </xf>
    <xf numFmtId="0" fontId="27" fillId="0" borderId="10" xfId="59" applyFont="1" applyBorder="1">
      <alignment/>
      <protection/>
    </xf>
    <xf numFmtId="0" fontId="24" fillId="0" borderId="10" xfId="59" applyFont="1" applyBorder="1">
      <alignment/>
      <protection/>
    </xf>
    <xf numFmtId="3" fontId="19" fillId="0" borderId="10" xfId="59" applyNumberFormat="1" applyFont="1" applyBorder="1" applyAlignment="1">
      <alignment horizontal="center"/>
      <protection/>
    </xf>
    <xf numFmtId="3" fontId="19" fillId="35" borderId="10" xfId="59" applyNumberFormat="1" applyFont="1" applyFill="1" applyBorder="1">
      <alignment/>
      <protection/>
    </xf>
    <xf numFmtId="0" fontId="28" fillId="0" borderId="10" xfId="59" applyFont="1" applyBorder="1" applyAlignment="1">
      <alignment horizontal="center"/>
      <protection/>
    </xf>
    <xf numFmtId="3" fontId="28" fillId="35" borderId="10" xfId="59" applyNumberFormat="1" applyFont="1" applyFill="1" applyBorder="1">
      <alignment/>
      <protection/>
    </xf>
    <xf numFmtId="3" fontId="20" fillId="0" borderId="10" xfId="59" applyNumberFormat="1" applyFont="1" applyBorder="1">
      <alignment/>
      <protection/>
    </xf>
    <xf numFmtId="0" fontId="19" fillId="0" borderId="10" xfId="59" applyFont="1" applyBorder="1" applyAlignment="1">
      <alignment horizontal="center" vertical="center"/>
      <protection/>
    </xf>
    <xf numFmtId="0" fontId="19" fillId="0" borderId="10" xfId="59" applyFont="1" applyBorder="1" applyAlignment="1">
      <alignment horizontal="center" vertical="center" wrapText="1"/>
      <protection/>
    </xf>
    <xf numFmtId="3" fontId="19" fillId="0" borderId="10" xfId="59" applyNumberFormat="1" applyFont="1" applyBorder="1" applyAlignment="1">
      <alignment horizontal="center" vertical="center"/>
      <protection/>
    </xf>
    <xf numFmtId="0" fontId="16" fillId="34" borderId="10" xfId="58" applyFont="1" applyFill="1" applyBorder="1" applyAlignment="1">
      <alignment wrapText="1"/>
      <protection/>
    </xf>
    <xf numFmtId="0" fontId="29" fillId="0" borderId="10" xfId="0" applyFont="1" applyBorder="1" applyAlignment="1">
      <alignment wrapText="1"/>
    </xf>
    <xf numFmtId="0" fontId="16" fillId="33" borderId="10" xfId="58" applyFont="1" applyFill="1" applyBorder="1">
      <alignment/>
      <protection/>
    </xf>
    <xf numFmtId="0" fontId="16" fillId="0" borderId="10" xfId="59" applyFont="1" applyBorder="1" applyAlignment="1">
      <alignment horizontal="left"/>
      <protection/>
    </xf>
    <xf numFmtId="0" fontId="30" fillId="0" borderId="10" xfId="59" applyFont="1" applyBorder="1">
      <alignment/>
      <protection/>
    </xf>
    <xf numFmtId="175" fontId="19" fillId="0" borderId="10" xfId="42" applyNumberFormat="1" applyFont="1" applyBorder="1" applyAlignment="1">
      <alignment/>
    </xf>
    <xf numFmtId="0" fontId="17" fillId="0" borderId="10" xfId="59" applyFont="1" applyFill="1" applyBorder="1" applyAlignment="1">
      <alignment horizontal="center"/>
      <protection/>
    </xf>
    <xf numFmtId="0" fontId="16" fillId="0" borderId="10" xfId="59" applyFont="1" applyFill="1" applyBorder="1" applyAlignment="1">
      <alignment horizontal="left"/>
      <protection/>
    </xf>
    <xf numFmtId="175" fontId="17" fillId="33" borderId="10" xfId="42" applyNumberFormat="1" applyFont="1" applyFill="1" applyBorder="1" applyAlignment="1">
      <alignment/>
    </xf>
    <xf numFmtId="0" fontId="17" fillId="34" borderId="10" xfId="58" applyFont="1" applyFill="1" applyBorder="1" applyAlignment="1">
      <alignment wrapText="1"/>
      <protection/>
    </xf>
    <xf numFmtId="0" fontId="16" fillId="0" borderId="10" xfId="59" applyFont="1" applyBorder="1" applyAlignment="1">
      <alignment wrapText="1"/>
      <protection/>
    </xf>
    <xf numFmtId="0" fontId="19" fillId="33" borderId="10" xfId="58" applyFont="1" applyFill="1" applyBorder="1" applyAlignment="1">
      <alignment wrapText="1"/>
      <protection/>
    </xf>
    <xf numFmtId="3" fontId="19" fillId="33" borderId="10" xfId="59" applyNumberFormat="1" applyFont="1" applyFill="1" applyBorder="1">
      <alignment/>
      <protection/>
    </xf>
    <xf numFmtId="0" fontId="17" fillId="34" borderId="10" xfId="59" applyFont="1" applyFill="1" applyBorder="1" applyAlignment="1">
      <alignment horizontal="center"/>
      <protection/>
    </xf>
    <xf numFmtId="0" fontId="31" fillId="0" borderId="10" xfId="59" applyFont="1" applyBorder="1">
      <alignment/>
      <protection/>
    </xf>
    <xf numFmtId="0" fontId="31" fillId="0" borderId="10" xfId="59" applyFont="1" applyBorder="1" applyAlignment="1">
      <alignment horizontal="center"/>
      <protection/>
    </xf>
    <xf numFmtId="175" fontId="32" fillId="35" borderId="10" xfId="42" applyNumberFormat="1" applyFont="1" applyFill="1" applyBorder="1" applyAlignment="1">
      <alignment/>
    </xf>
    <xf numFmtId="0" fontId="16" fillId="0" borderId="10" xfId="0" applyFont="1" applyBorder="1" applyAlignment="1">
      <alignment wrapText="1"/>
    </xf>
    <xf numFmtId="0" fontId="0" fillId="0" borderId="0" xfId="0" applyAlignment="1">
      <alignment horizontal="center"/>
    </xf>
    <xf numFmtId="0" fontId="17" fillId="0" borderId="14" xfId="59" applyFont="1" applyBorder="1">
      <alignment/>
      <protection/>
    </xf>
    <xf numFmtId="0" fontId="33" fillId="0" borderId="0" xfId="0" applyFont="1" applyAlignment="1">
      <alignment horizontal="center"/>
    </xf>
    <xf numFmtId="3" fontId="34" fillId="36" borderId="15" xfId="0" applyNumberFormat="1" applyFont="1" applyFill="1" applyBorder="1" applyAlignment="1" applyProtection="1">
      <alignment horizontal="right" vertical="center" wrapText="1" shrinkToFit="1"/>
      <protection locked="0"/>
    </xf>
    <xf numFmtId="175" fontId="35" fillId="0" borderId="10" xfId="42" applyNumberFormat="1" applyFont="1" applyBorder="1" applyAlignment="1">
      <alignment/>
    </xf>
    <xf numFmtId="175" fontId="0" fillId="35" borderId="0" xfId="42" applyNumberFormat="1" applyFont="1" applyFill="1" applyAlignment="1">
      <alignment horizontal="center"/>
    </xf>
    <xf numFmtId="0" fontId="36" fillId="0" borderId="16" xfId="0" applyFont="1" applyBorder="1" applyAlignment="1">
      <alignment horizontal="center" vertical="center" wrapText="1"/>
    </xf>
    <xf numFmtId="49" fontId="17" fillId="0" borderId="10" xfId="0" applyNumberFormat="1" applyFont="1" applyBorder="1" applyAlignment="1">
      <alignment horizontal="center"/>
    </xf>
    <xf numFmtId="175" fontId="37" fillId="0" borderId="10" xfId="42" applyNumberFormat="1" applyFont="1" applyBorder="1" applyAlignment="1">
      <alignment horizontal="right"/>
    </xf>
    <xf numFmtId="175" fontId="37" fillId="37" borderId="10" xfId="42" applyNumberFormat="1" applyFont="1" applyFill="1" applyBorder="1" applyAlignment="1">
      <alignment horizontal="right"/>
    </xf>
    <xf numFmtId="3" fontId="38" fillId="0" borderId="10" xfId="0" applyNumberFormat="1" applyFont="1" applyFill="1" applyBorder="1" applyAlignment="1" applyProtection="1">
      <alignment horizontal="right"/>
      <protection locked="0"/>
    </xf>
    <xf numFmtId="175" fontId="38" fillId="0" borderId="10" xfId="42" applyNumberFormat="1" applyFont="1" applyFill="1" applyBorder="1" applyAlignment="1" applyProtection="1">
      <alignment horizontal="right"/>
      <protection locked="0"/>
    </xf>
    <xf numFmtId="175" fontId="35" fillId="0" borderId="11" xfId="42" applyNumberFormat="1" applyFont="1" applyBorder="1" applyAlignment="1">
      <alignment/>
    </xf>
    <xf numFmtId="175" fontId="38" fillId="0" borderId="0" xfId="42" applyNumberFormat="1" applyFont="1" applyFill="1" applyBorder="1" applyAlignment="1" applyProtection="1">
      <alignment horizontal="right"/>
      <protection locked="0"/>
    </xf>
    <xf numFmtId="0" fontId="28" fillId="0" borderId="17" xfId="0" applyFont="1" applyBorder="1" applyAlignment="1">
      <alignment horizontal="center"/>
    </xf>
    <xf numFmtId="175" fontId="17" fillId="0" borderId="10" xfId="42"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175" fontId="0" fillId="0" borderId="0" xfId="42" applyNumberFormat="1" applyFont="1" applyBorder="1" applyAlignment="1">
      <alignment/>
    </xf>
    <xf numFmtId="175" fontId="0" fillId="0" borderId="0" xfId="0" applyNumberFormat="1" applyFont="1" applyBorder="1" applyAlignment="1">
      <alignment/>
    </xf>
    <xf numFmtId="3" fontId="34" fillId="36" borderId="18" xfId="0" applyNumberFormat="1" applyFont="1" applyFill="1" applyBorder="1" applyAlignment="1" applyProtection="1">
      <alignment vertical="center" wrapText="1" shrinkToFit="1"/>
      <protection locked="0"/>
    </xf>
    <xf numFmtId="3" fontId="34" fillId="36" borderId="19" xfId="0" applyNumberFormat="1" applyFont="1" applyFill="1" applyBorder="1" applyAlignment="1" applyProtection="1">
      <alignment vertical="center" wrapText="1" shrinkToFit="1"/>
      <protection locked="0"/>
    </xf>
    <xf numFmtId="3" fontId="34" fillId="36" borderId="20" xfId="0" applyNumberFormat="1" applyFont="1" applyFill="1" applyBorder="1" applyAlignment="1" applyProtection="1">
      <alignment vertical="center" wrapText="1" shrinkToFit="1"/>
      <protection locked="0"/>
    </xf>
    <xf numFmtId="0" fontId="3" fillId="0" borderId="0" xfId="0" applyFont="1" applyAlignment="1">
      <alignment/>
    </xf>
    <xf numFmtId="0" fontId="4" fillId="0" borderId="10" xfId="0" applyFont="1" applyBorder="1" applyAlignment="1">
      <alignment wrapText="1"/>
    </xf>
    <xf numFmtId="3" fontId="0" fillId="0" borderId="10" xfId="0" applyNumberFormat="1" applyBorder="1" applyAlignment="1">
      <alignment/>
    </xf>
    <xf numFmtId="175" fontId="0" fillId="0" borderId="10" xfId="0" applyNumberFormat="1" applyBorder="1" applyAlignment="1">
      <alignment/>
    </xf>
    <xf numFmtId="0" fontId="19" fillId="0" borderId="14" xfId="59" applyFont="1" applyFill="1" applyBorder="1" applyAlignment="1">
      <alignment horizontal="center"/>
      <protection/>
    </xf>
    <xf numFmtId="0" fontId="19" fillId="0" borderId="14" xfId="59" applyFont="1" applyBorder="1">
      <alignment/>
      <protection/>
    </xf>
    <xf numFmtId="0" fontId="17" fillId="0" borderId="10" xfId="59" applyFont="1" applyBorder="1" applyAlignment="1">
      <alignment horizontal="center" vertical="center"/>
      <protection/>
    </xf>
    <xf numFmtId="3" fontId="18" fillId="0" borderId="10" xfId="0" applyNumberFormat="1" applyFont="1" applyBorder="1" applyAlignment="1">
      <alignment/>
    </xf>
    <xf numFmtId="0" fontId="19" fillId="0" borderId="14" xfId="59" applyFont="1" applyBorder="1" applyAlignment="1">
      <alignment horizontal="center"/>
      <protection/>
    </xf>
    <xf numFmtId="3" fontId="21" fillId="0" borderId="10" xfId="59" applyNumberFormat="1" applyFont="1" applyBorder="1">
      <alignment/>
      <protection/>
    </xf>
    <xf numFmtId="0" fontId="16" fillId="0" borderId="10" xfId="59" applyFont="1" applyBorder="1" applyAlignment="1">
      <alignment horizontal="left" wrapText="1"/>
      <protection/>
    </xf>
    <xf numFmtId="175" fontId="17" fillId="0" borderId="10" xfId="42" applyNumberFormat="1" applyFont="1" applyFill="1" applyBorder="1" applyAlignment="1">
      <alignment/>
    </xf>
    <xf numFmtId="0" fontId="39" fillId="0" borderId="10" xfId="59" applyFont="1" applyBorder="1" applyAlignment="1">
      <alignment horizontal="center"/>
      <protection/>
    </xf>
    <xf numFmtId="0" fontId="28" fillId="0" borderId="10" xfId="59" applyFont="1" applyBorder="1" applyAlignment="1">
      <alignment horizontal="center" vertical="center"/>
      <protection/>
    </xf>
    <xf numFmtId="0" fontId="28" fillId="0" borderId="10" xfId="59" applyFont="1" applyBorder="1" applyAlignment="1">
      <alignment horizontal="center" vertical="center" wrapText="1"/>
      <protection/>
    </xf>
    <xf numFmtId="0" fontId="24" fillId="0" borderId="10" xfId="59" applyFont="1" applyBorder="1" applyAlignment="1">
      <alignment horizontal="center" vertical="center"/>
      <protection/>
    </xf>
    <xf numFmtId="175" fontId="19" fillId="0" borderId="10" xfId="42" applyNumberFormat="1" applyFont="1" applyBorder="1" applyAlignment="1">
      <alignment horizontal="center" vertical="center"/>
    </xf>
    <xf numFmtId="175" fontId="19" fillId="0" borderId="10" xfId="42" applyNumberFormat="1" applyFont="1" applyBorder="1" applyAlignment="1">
      <alignment horizontal="center" vertical="center" wrapText="1"/>
    </xf>
    <xf numFmtId="0" fontId="19" fillId="0" borderId="21" xfId="59" applyFont="1" applyBorder="1">
      <alignment/>
      <protection/>
    </xf>
    <xf numFmtId="0" fontId="19" fillId="0" borderId="10" xfId="59" applyFont="1" applyBorder="1" applyAlignment="1">
      <alignment horizontal="left"/>
      <protection/>
    </xf>
    <xf numFmtId="3" fontId="19" fillId="0" borderId="10" xfId="59" applyNumberFormat="1" applyFont="1" applyBorder="1" applyAlignment="1">
      <alignment horizontal="right"/>
      <protection/>
    </xf>
    <xf numFmtId="0" fontId="13" fillId="0" borderId="10" xfId="59" applyFont="1" applyBorder="1" applyAlignment="1">
      <alignment wrapText="1"/>
      <protection/>
    </xf>
    <xf numFmtId="3" fontId="17" fillId="0" borderId="10" xfId="0" applyNumberFormat="1" applyFont="1" applyBorder="1" applyAlignment="1">
      <alignment/>
    </xf>
    <xf numFmtId="0" fontId="13" fillId="0" borderId="10" xfId="0" applyFont="1" applyBorder="1" applyAlignment="1" quotePrefix="1">
      <alignment/>
    </xf>
    <xf numFmtId="0" fontId="16" fillId="0" borderId="10" xfId="59" applyFont="1" applyBorder="1" applyAlignment="1">
      <alignment vertical="center" wrapText="1"/>
      <protection/>
    </xf>
    <xf numFmtId="0" fontId="40" fillId="0" borderId="10" xfId="59" applyFont="1" applyBorder="1">
      <alignment/>
      <protection/>
    </xf>
    <xf numFmtId="0" fontId="28" fillId="0" borderId="10" xfId="59" applyFont="1" applyBorder="1">
      <alignment/>
      <protection/>
    </xf>
    <xf numFmtId="0" fontId="41" fillId="0" borderId="10" xfId="59" applyFont="1" applyBorder="1">
      <alignment/>
      <protection/>
    </xf>
    <xf numFmtId="181" fontId="32" fillId="0" borderId="10" xfId="42" applyNumberFormat="1" applyFont="1" applyBorder="1" applyAlignment="1">
      <alignment horizontal="right"/>
    </xf>
    <xf numFmtId="0" fontId="20" fillId="0" borderId="10" xfId="59" applyFont="1" applyBorder="1">
      <alignment/>
      <protection/>
    </xf>
    <xf numFmtId="0" fontId="19" fillId="0" borderId="17" xfId="59" applyFont="1" applyBorder="1">
      <alignment/>
      <protection/>
    </xf>
    <xf numFmtId="175" fontId="19" fillId="35" borderId="10" xfId="42" applyNumberFormat="1" applyFont="1" applyFill="1" applyBorder="1" applyAlignment="1">
      <alignment/>
    </xf>
    <xf numFmtId="181" fontId="0" fillId="0" borderId="10" xfId="0" applyNumberFormat="1" applyBorder="1" applyAlignment="1">
      <alignment/>
    </xf>
    <xf numFmtId="3" fontId="28" fillId="0" borderId="10" xfId="59" applyNumberFormat="1" applyFont="1" applyBorder="1">
      <alignment/>
      <protection/>
    </xf>
    <xf numFmtId="0" fontId="19" fillId="0" borderId="14" xfId="59" applyFont="1" applyFill="1" applyBorder="1" applyAlignment="1">
      <alignment horizontal="left"/>
      <protection/>
    </xf>
    <xf numFmtId="0" fontId="24" fillId="0" borderId="14" xfId="59" applyFont="1" applyBorder="1" applyAlignment="1">
      <alignment horizontal="center"/>
      <protection/>
    </xf>
    <xf numFmtId="0" fontId="17" fillId="0" borderId="14" xfId="59" applyFont="1" applyBorder="1" applyAlignment="1">
      <alignment horizontal="center"/>
      <protection/>
    </xf>
    <xf numFmtId="0" fontId="28" fillId="0" borderId="14" xfId="59" applyFont="1" applyBorder="1" applyAlignment="1">
      <alignment horizontal="center"/>
      <protection/>
    </xf>
    <xf numFmtId="0" fontId="19" fillId="0" borderId="14" xfId="59" applyFont="1" applyBorder="1" applyAlignment="1">
      <alignment horizontal="center" vertical="center"/>
      <protection/>
    </xf>
    <xf numFmtId="0" fontId="7" fillId="0" borderId="10" xfId="0" applyFont="1" applyBorder="1" applyAlignment="1">
      <alignment/>
    </xf>
    <xf numFmtId="175" fontId="20" fillId="35" borderId="10" xfId="42" applyNumberFormat="1" applyFont="1" applyFill="1" applyBorder="1" applyAlignment="1">
      <alignment horizontal="center" vertical="center"/>
    </xf>
    <xf numFmtId="0" fontId="42" fillId="0" borderId="0" xfId="0" applyFont="1" applyAlignment="1">
      <alignment/>
    </xf>
    <xf numFmtId="0" fontId="31" fillId="0" borderId="0" xfId="0" applyFont="1" applyAlignment="1">
      <alignment/>
    </xf>
    <xf numFmtId="0" fontId="43" fillId="0" borderId="0" xfId="0" applyFont="1" applyAlignment="1">
      <alignment/>
    </xf>
    <xf numFmtId="0" fontId="44" fillId="0" borderId="0" xfId="0" applyFont="1" applyAlignment="1">
      <alignment/>
    </xf>
    <xf numFmtId="0" fontId="45" fillId="0" borderId="22" xfId="0" applyFont="1" applyBorder="1" applyAlignment="1" applyProtection="1">
      <alignment horizontal="center" vertical="center" wrapText="1"/>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wrapText="1"/>
      <protection locked="0"/>
    </xf>
    <xf numFmtId="0" fontId="45" fillId="0" borderId="25" xfId="0" applyFont="1" applyBorder="1" applyAlignment="1" applyProtection="1">
      <alignment horizontal="center" vertical="center"/>
      <protection locked="0"/>
    </xf>
    <xf numFmtId="0" fontId="45" fillId="0" borderId="25" xfId="0" applyFont="1" applyBorder="1" applyAlignment="1" applyProtection="1">
      <alignment horizontal="center" vertical="center" wrapText="1"/>
      <protection locked="0"/>
    </xf>
    <xf numFmtId="0" fontId="46" fillId="0" borderId="26" xfId="0" applyFont="1" applyBorder="1" applyAlignment="1" applyProtection="1">
      <alignment horizontal="left" vertical="center" wrapText="1"/>
      <protection locked="0"/>
    </xf>
    <xf numFmtId="0" fontId="45" fillId="0" borderId="27" xfId="0" applyFont="1" applyBorder="1" applyAlignment="1" applyProtection="1">
      <alignment horizontal="center" vertical="center"/>
      <protection locked="0"/>
    </xf>
    <xf numFmtId="0" fontId="45" fillId="0" borderId="28" xfId="0" applyFont="1" applyBorder="1" applyAlignment="1" applyProtection="1">
      <alignment horizontal="center" vertical="center" wrapText="1"/>
      <protection locked="0"/>
    </xf>
    <xf numFmtId="0" fontId="47" fillId="0" borderId="29"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7" xfId="0" applyFont="1" applyBorder="1" applyAlignment="1" applyProtection="1">
      <alignment horizontal="left" vertical="center"/>
      <protection locked="0"/>
    </xf>
    <xf numFmtId="0" fontId="18" fillId="0" borderId="29" xfId="0" applyFont="1" applyBorder="1" applyAlignment="1" applyProtection="1">
      <alignment horizontal="center" vertical="center"/>
      <protection locked="0"/>
    </xf>
    <xf numFmtId="0" fontId="48" fillId="0" borderId="27" xfId="0" applyFont="1" applyBorder="1" applyAlignment="1" applyProtection="1">
      <alignment horizontal="left" vertical="center"/>
      <protection locked="0"/>
    </xf>
    <xf numFmtId="3" fontId="48" fillId="0" borderId="27" xfId="0" applyNumberFormat="1" applyFont="1" applyBorder="1" applyAlignment="1" applyProtection="1">
      <alignment horizontal="left" vertical="center"/>
      <protection locked="0"/>
    </xf>
    <xf numFmtId="3" fontId="87" fillId="0" borderId="27" xfId="0" applyNumberFormat="1" applyFont="1" applyBorder="1" applyAlignment="1" applyProtection="1">
      <alignment horizontal="right" vertical="center"/>
      <protection locked="0"/>
    </xf>
    <xf numFmtId="0" fontId="87" fillId="0" borderId="27" xfId="0" applyFont="1" applyBorder="1" applyAlignment="1" applyProtection="1">
      <alignment horizontal="left" vertical="center"/>
      <protection locked="0"/>
    </xf>
    <xf numFmtId="0" fontId="48" fillId="0" borderId="27" xfId="0" applyFont="1" applyBorder="1" applyAlignment="1" applyProtection="1">
      <alignment vertical="center"/>
      <protection locked="0"/>
    </xf>
    <xf numFmtId="3" fontId="87" fillId="0" borderId="27" xfId="0" applyNumberFormat="1" applyFont="1" applyBorder="1" applyAlignment="1" applyProtection="1">
      <alignment horizontal="left" vertical="center"/>
      <protection locked="0"/>
    </xf>
    <xf numFmtId="0" fontId="88" fillId="35" borderId="27" xfId="0" applyFont="1" applyFill="1" applyBorder="1" applyAlignment="1" applyProtection="1">
      <alignment horizontal="left" vertical="center"/>
      <protection locked="0"/>
    </xf>
    <xf numFmtId="3" fontId="87" fillId="35" borderId="0" xfId="0" applyNumberFormat="1" applyFont="1" applyFill="1" applyAlignment="1" applyProtection="1">
      <alignment horizontal="left" vertical="center"/>
      <protection locked="0"/>
    </xf>
    <xf numFmtId="3" fontId="48" fillId="0" borderId="29" xfId="0" applyNumberFormat="1" applyFont="1" applyBorder="1" applyAlignment="1" applyProtection="1">
      <alignment horizontal="left" vertical="center"/>
      <protection locked="0"/>
    </xf>
    <xf numFmtId="0" fontId="45" fillId="0" borderId="30" xfId="0" applyFont="1" applyBorder="1" applyAlignment="1" applyProtection="1">
      <alignment horizontal="center" vertical="center"/>
      <protection locked="0"/>
    </xf>
    <xf numFmtId="3" fontId="48" fillId="0" borderId="31" xfId="0" applyNumberFormat="1" applyFont="1" applyBorder="1" applyAlignment="1" applyProtection="1">
      <alignment horizontal="left" vertical="center"/>
      <protection locked="0"/>
    </xf>
    <xf numFmtId="0" fontId="46" fillId="0" borderId="0" xfId="0" applyFont="1" applyAlignment="1" applyProtection="1">
      <alignment horizontal="left"/>
      <protection locked="0"/>
    </xf>
    <xf numFmtId="3" fontId="46" fillId="0" borderId="0" xfId="0" applyNumberFormat="1" applyFont="1" applyAlignment="1" applyProtection="1">
      <alignment horizontal="left"/>
      <protection locked="0"/>
    </xf>
    <xf numFmtId="0" fontId="42" fillId="0" borderId="0" xfId="0" applyFont="1" applyAlignment="1">
      <alignment horizontal="center"/>
    </xf>
    <xf numFmtId="0" fontId="4" fillId="0" borderId="0" xfId="0" applyFont="1" applyAlignment="1">
      <alignment horizontal="center"/>
    </xf>
    <xf numFmtId="0" fontId="28" fillId="0" borderId="13" xfId="0" applyFont="1" applyBorder="1" applyAlignment="1">
      <alignment horizontal="center"/>
    </xf>
    <xf numFmtId="0" fontId="28" fillId="0" borderId="32" xfId="0" applyFont="1" applyBorder="1" applyAlignment="1">
      <alignment horizontal="center"/>
    </xf>
    <xf numFmtId="0" fontId="28" fillId="0" borderId="11" xfId="0" applyFont="1" applyBorder="1" applyAlignment="1">
      <alignment horizontal="center"/>
    </xf>
    <xf numFmtId="0" fontId="31" fillId="0" borderId="10" xfId="0" applyFont="1" applyBorder="1" applyAlignment="1">
      <alignment horizontal="center"/>
    </xf>
    <xf numFmtId="175" fontId="17" fillId="0" borderId="10" xfId="42" applyNumberFormat="1" applyFont="1" applyBorder="1" applyAlignment="1">
      <alignment/>
    </xf>
    <xf numFmtId="175" fontId="35" fillId="0" borderId="10" xfId="42" applyNumberFormat="1" applyFont="1" applyFill="1" applyBorder="1" applyAlignment="1">
      <alignment/>
    </xf>
    <xf numFmtId="3" fontId="46" fillId="0" borderId="10" xfId="0" applyNumberFormat="1" applyFont="1" applyBorder="1" applyAlignment="1" applyProtection="1">
      <alignment horizontal="right"/>
      <protection locked="0"/>
    </xf>
    <xf numFmtId="3" fontId="46" fillId="0" borderId="10" xfId="0" applyNumberFormat="1" applyFont="1" applyBorder="1" applyAlignment="1" applyProtection="1">
      <alignment horizontal="left"/>
      <protection locked="0"/>
    </xf>
    <xf numFmtId="175" fontId="46" fillId="0" borderId="10" xfId="42" applyNumberFormat="1" applyFont="1" applyFill="1" applyBorder="1" applyAlignment="1" applyProtection="1">
      <alignment horizontal="left"/>
      <protection locked="0"/>
    </xf>
    <xf numFmtId="175" fontId="17" fillId="0" borderId="11" xfId="42" applyNumberFormat="1" applyFont="1" applyBorder="1" applyAlignment="1">
      <alignment/>
    </xf>
    <xf numFmtId="175" fontId="35" fillId="35" borderId="10" xfId="42" applyNumberFormat="1" applyFont="1" applyFill="1" applyBorder="1" applyAlignment="1">
      <alignment/>
    </xf>
    <xf numFmtId="175" fontId="46" fillId="35" borderId="0" xfId="42" applyNumberFormat="1" applyFont="1" applyFill="1" applyBorder="1" applyAlignment="1" applyProtection="1">
      <alignment horizontal="left"/>
      <protection locked="0"/>
    </xf>
    <xf numFmtId="0" fontId="31" fillId="0" borderId="33" xfId="0" applyFont="1" applyBorder="1" applyAlignment="1">
      <alignment/>
    </xf>
    <xf numFmtId="175" fontId="17" fillId="0" borderId="0" xfId="42" applyNumberFormat="1" applyFont="1" applyBorder="1" applyAlignment="1">
      <alignment/>
    </xf>
    <xf numFmtId="175" fontId="17" fillId="0" borderId="33" xfId="42" applyNumberFormat="1" applyFont="1" applyBorder="1" applyAlignment="1">
      <alignment/>
    </xf>
    <xf numFmtId="175" fontId="17" fillId="0" borderId="33" xfId="42" applyNumberFormat="1" applyFont="1" applyBorder="1" applyAlignment="1">
      <alignment horizontal="center"/>
    </xf>
    <xf numFmtId="3" fontId="19" fillId="0" borderId="10" xfId="59" applyNumberFormat="1" applyFont="1" applyBorder="1" applyAlignment="1">
      <alignment horizontal="right" vertical="center"/>
      <protection/>
    </xf>
    <xf numFmtId="181" fontId="19" fillId="0" borderId="10" xfId="42" applyNumberFormat="1" applyFont="1" applyBorder="1" applyAlignment="1">
      <alignment horizontal="right"/>
    </xf>
    <xf numFmtId="3" fontId="19" fillId="0" borderId="14" xfId="59" applyNumberFormat="1" applyFont="1" applyBorder="1">
      <alignment/>
      <protection/>
    </xf>
    <xf numFmtId="0" fontId="2" fillId="0" borderId="0" xfId="0" applyFont="1" applyAlignment="1">
      <alignment horizontal="center"/>
    </xf>
    <xf numFmtId="0" fontId="1" fillId="0" borderId="0" xfId="0" applyFont="1" applyAlignment="1">
      <alignment horizontal="center"/>
    </xf>
    <xf numFmtId="0" fontId="9" fillId="0" borderId="10" xfId="0" applyFont="1" applyBorder="1" applyAlignment="1">
      <alignment horizontal="center" wrapText="1"/>
    </xf>
    <xf numFmtId="0" fontId="1" fillId="0" borderId="10" xfId="0" applyFont="1" applyBorder="1" applyAlignment="1">
      <alignment horizontal="center" wrapText="1"/>
    </xf>
    <xf numFmtId="0" fontId="9" fillId="0" borderId="13" xfId="0" applyFont="1" applyBorder="1" applyAlignment="1">
      <alignment horizontal="center" wrapText="1"/>
    </xf>
    <xf numFmtId="0" fontId="9" fillId="0" borderId="11" xfId="0" applyFont="1" applyBorder="1" applyAlignment="1">
      <alignment horizontal="center" wrapText="1"/>
    </xf>
    <xf numFmtId="0" fontId="42" fillId="0" borderId="0" xfId="0" applyFont="1" applyAlignment="1">
      <alignment horizontal="center"/>
    </xf>
    <xf numFmtId="0" fontId="4" fillId="0" borderId="0" xfId="0" applyFont="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7" fillId="0" borderId="0" xfId="0" applyFont="1" applyBorder="1" applyAlignment="1">
      <alignment horizontal="center"/>
    </xf>
    <xf numFmtId="0" fontId="3" fillId="0" borderId="0" xfId="0" applyFont="1" applyAlignment="1">
      <alignment horizontal="center"/>
    </xf>
    <xf numFmtId="0" fontId="45" fillId="0" borderId="34"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5" fillId="0" borderId="36"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22"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45" fillId="0" borderId="22"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29" fillId="0" borderId="0" xfId="0" applyFont="1" applyAlignment="1">
      <alignment horizontal="center"/>
    </xf>
    <xf numFmtId="0" fontId="43" fillId="0" borderId="0" xfId="0" applyFont="1" applyAlignment="1">
      <alignment horizontal="center"/>
    </xf>
    <xf numFmtId="0" fontId="28" fillId="0" borderId="13" xfId="0" applyFont="1" applyBorder="1" applyAlignment="1">
      <alignment horizontal="center" vertical="center" wrapText="1"/>
    </xf>
    <xf numFmtId="0" fontId="28" fillId="0" borderId="32"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21"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center" vertical="center" wrapText="1"/>
    </xf>
    <xf numFmtId="0" fontId="19" fillId="0" borderId="17" xfId="59" applyFont="1" applyFill="1" applyBorder="1" applyAlignment="1">
      <alignment horizontal="center"/>
      <protection/>
    </xf>
    <xf numFmtId="0" fontId="19" fillId="0" borderId="14" xfId="59" applyFont="1" applyFill="1" applyBorder="1" applyAlignment="1">
      <alignment horizontal="center"/>
      <protection/>
    </xf>
    <xf numFmtId="0" fontId="19" fillId="0" borderId="10" xfId="59" applyFont="1" applyBorder="1" applyAlignment="1">
      <alignment horizontal="center"/>
      <protection/>
    </xf>
    <xf numFmtId="0" fontId="1" fillId="0" borderId="37" xfId="0" applyFont="1" applyBorder="1" applyAlignment="1">
      <alignment horizontal="center"/>
    </xf>
    <xf numFmtId="0" fontId="3" fillId="0" borderId="37" xfId="0" applyFont="1" applyBorder="1" applyAlignment="1">
      <alignment horizontal="center"/>
    </xf>
    <xf numFmtId="0" fontId="20" fillId="0" borderId="14" xfId="59" applyFont="1" applyFill="1" applyBorder="1" applyAlignment="1">
      <alignment horizontal="center"/>
      <protection/>
    </xf>
    <xf numFmtId="0" fontId="20" fillId="0" borderId="10" xfId="59" applyFont="1" applyFill="1" applyBorder="1" applyAlignment="1">
      <alignment horizontal="center"/>
      <protection/>
    </xf>
    <xf numFmtId="0" fontId="4" fillId="0" borderId="0" xfId="0" applyFont="1" applyAlignment="1">
      <alignment horizontal="left" wrapText="1"/>
    </xf>
    <xf numFmtId="0" fontId="4" fillId="0" borderId="0" xfId="0" applyFont="1" applyAlignment="1">
      <alignment horizontal="left"/>
    </xf>
    <xf numFmtId="0" fontId="1" fillId="0" borderId="13" xfId="0" applyFont="1" applyBorder="1" applyAlignment="1">
      <alignment horizontal="center" wrapText="1"/>
    </xf>
    <xf numFmtId="0" fontId="1" fillId="0" borderId="11" xfId="0" applyFont="1" applyBorder="1" applyAlignment="1">
      <alignment horizontal="center" wrapText="1"/>
    </xf>
    <xf numFmtId="0" fontId="19" fillId="0" borderId="14" xfId="59" applyFont="1" applyFill="1" applyBorder="1" applyAlignment="1">
      <alignment horizontal="left"/>
      <protection/>
    </xf>
    <xf numFmtId="0" fontId="19" fillId="0" borderId="10" xfId="59" applyFont="1" applyFill="1" applyBorder="1" applyAlignment="1">
      <alignment horizontal="left"/>
      <protection/>
    </xf>
    <xf numFmtId="0" fontId="19" fillId="0" borderId="10" xfId="59" applyFont="1" applyFill="1" applyBorder="1" applyAlignment="1">
      <alignment horizontal="center"/>
      <protection/>
    </xf>
    <xf numFmtId="3" fontId="32" fillId="0" borderId="10" xfId="59" applyNumberFormat="1" applyFont="1" applyBorder="1" applyAlignment="1">
      <alignment horizontal="center" wrapText="1"/>
      <protection/>
    </xf>
    <xf numFmtId="0" fontId="24" fillId="0" borderId="14" xfId="59" applyFont="1" applyBorder="1" applyAlignment="1">
      <alignment horizontal="center"/>
      <protection/>
    </xf>
    <xf numFmtId="0" fontId="24" fillId="0" borderId="10" xfId="59" applyFont="1" applyBorder="1" applyAlignment="1">
      <alignment horizontal="center"/>
      <protection/>
    </xf>
    <xf numFmtId="0" fontId="19" fillId="0" borderId="17" xfId="59" applyFont="1" applyBorder="1" applyAlignment="1">
      <alignment horizontal="center"/>
      <protection/>
    </xf>
    <xf numFmtId="0" fontId="19" fillId="0" borderId="14" xfId="59" applyFont="1" applyBorder="1" applyAlignment="1">
      <alignment horizontal="center"/>
      <protection/>
    </xf>
    <xf numFmtId="0" fontId="32" fillId="0" borderId="10" xfId="59" applyFont="1" applyBorder="1" applyAlignment="1">
      <alignment horizontal="center" vertical="center" wrapText="1"/>
      <protection/>
    </xf>
    <xf numFmtId="0" fontId="32" fillId="0" borderId="10" xfId="59" applyFont="1" applyBorder="1" applyAlignment="1">
      <alignment horizontal="center" vertical="center"/>
      <protection/>
    </xf>
    <xf numFmtId="0" fontId="1" fillId="0" borderId="10" xfId="0" applyFont="1" applyBorder="1" applyAlignment="1">
      <alignment horizontal="center" vertical="center" wrapText="1"/>
    </xf>
    <xf numFmtId="0" fontId="1" fillId="35"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46"/>
  <sheetViews>
    <sheetView zoomScalePageLayoutView="0" workbookViewId="0" topLeftCell="A10">
      <selection activeCell="C22" sqref="C22"/>
    </sheetView>
  </sheetViews>
  <sheetFormatPr defaultColWidth="9.140625" defaultRowHeight="12.75"/>
  <cols>
    <col min="1" max="1" width="5.57421875" style="22" customWidth="1"/>
    <col min="2" max="2" width="49.28125" style="22" customWidth="1"/>
    <col min="3" max="3" width="45.7109375" style="22" customWidth="1"/>
    <col min="4" max="4" width="42.00390625" style="22" customWidth="1"/>
    <col min="5" max="5" width="20.421875" style="22" customWidth="1"/>
    <col min="6" max="16384" width="9.140625" style="22" customWidth="1"/>
  </cols>
  <sheetData>
    <row r="2" spans="1:4" ht="12.75">
      <c r="A2" s="33" t="s">
        <v>43</v>
      </c>
      <c r="B2" s="33"/>
      <c r="C2" s="33"/>
      <c r="D2" s="33"/>
    </row>
    <row r="4" spans="1:3" ht="15.75">
      <c r="A4" s="7" t="s">
        <v>16</v>
      </c>
      <c r="B4" s="7"/>
      <c r="C4" s="7"/>
    </row>
    <row r="5" spans="1:3" ht="15.75">
      <c r="A5" s="7" t="s">
        <v>12</v>
      </c>
      <c r="B5" s="7"/>
      <c r="C5" s="7"/>
    </row>
    <row r="6" ht="12.75">
      <c r="A6" s="3"/>
    </row>
    <row r="7" spans="1:3" ht="18">
      <c r="A7" s="216" t="s">
        <v>14</v>
      </c>
      <c r="B7" s="216"/>
      <c r="C7" s="216"/>
    </row>
    <row r="8" spans="1:3" ht="18">
      <c r="A8" s="216" t="s">
        <v>51</v>
      </c>
      <c r="B8" s="216"/>
      <c r="C8" s="216"/>
    </row>
    <row r="9" spans="1:3" ht="18">
      <c r="A9" s="216" t="s">
        <v>252</v>
      </c>
      <c r="B9" s="216"/>
      <c r="C9" s="216"/>
    </row>
    <row r="10" spans="1:6" ht="21" customHeight="1">
      <c r="A10" s="217" t="s">
        <v>258</v>
      </c>
      <c r="B10" s="217"/>
      <c r="C10" s="217"/>
      <c r="D10" s="33"/>
      <c r="E10" s="33"/>
      <c r="F10" s="33"/>
    </row>
    <row r="11" spans="1:3" ht="23.25">
      <c r="A11" s="11"/>
      <c r="B11" s="17" t="s">
        <v>9</v>
      </c>
      <c r="C11" s="18" t="s">
        <v>32</v>
      </c>
    </row>
    <row r="12" spans="1:3" ht="23.25">
      <c r="A12" s="11"/>
      <c r="B12" s="26" t="s">
        <v>253</v>
      </c>
      <c r="C12" s="18"/>
    </row>
    <row r="13" spans="1:3" ht="23.25">
      <c r="A13" s="11"/>
      <c r="B13" s="26" t="s">
        <v>251</v>
      </c>
      <c r="C13" s="18"/>
    </row>
    <row r="14" spans="1:3" ht="15.75">
      <c r="A14" s="5" t="s">
        <v>0</v>
      </c>
      <c r="B14" s="4" t="s">
        <v>8</v>
      </c>
      <c r="C14" s="4" t="s">
        <v>1</v>
      </c>
    </row>
    <row r="15" spans="1:3" ht="15.75">
      <c r="A15" s="12"/>
      <c r="B15" s="23"/>
      <c r="C15" s="21"/>
    </row>
    <row r="16" spans="1:3" ht="15.75">
      <c r="A16" s="2"/>
      <c r="B16" s="5" t="s">
        <v>4</v>
      </c>
      <c r="C16" s="4"/>
    </row>
    <row r="17" spans="1:3" ht="15.75">
      <c r="A17" s="2"/>
      <c r="B17" s="5" t="s">
        <v>10</v>
      </c>
      <c r="C17" s="4"/>
    </row>
    <row r="18" spans="1:3" ht="15.75">
      <c r="A18" s="2"/>
      <c r="B18" s="5" t="s">
        <v>260</v>
      </c>
      <c r="C18" s="9">
        <f>C19+C25</f>
        <v>9023116680</v>
      </c>
    </row>
    <row r="19" spans="1:3" ht="15.75">
      <c r="A19" s="2" t="s">
        <v>2</v>
      </c>
      <c r="B19" s="5" t="s">
        <v>17</v>
      </c>
      <c r="C19" s="9">
        <f>SUM(C20:C24)</f>
        <v>6949177210</v>
      </c>
    </row>
    <row r="20" spans="1:4" ht="39" customHeight="1">
      <c r="A20" s="2"/>
      <c r="B20" s="126" t="s">
        <v>254</v>
      </c>
      <c r="C20" s="20">
        <v>4048923122</v>
      </c>
      <c r="D20" s="39">
        <f>C20+C21</f>
        <v>4156923122</v>
      </c>
    </row>
    <row r="21" spans="1:3" ht="15">
      <c r="A21" s="2"/>
      <c r="B21" s="6" t="s">
        <v>18</v>
      </c>
      <c r="C21" s="20">
        <v>108000000</v>
      </c>
    </row>
    <row r="22" spans="1:3" ht="15">
      <c r="A22" s="2"/>
      <c r="B22" s="6" t="s">
        <v>19</v>
      </c>
      <c r="C22" s="20">
        <f>972000000+686800000</f>
        <v>1658800000</v>
      </c>
    </row>
    <row r="23" spans="1:3" ht="30">
      <c r="A23" s="2"/>
      <c r="B23" s="126" t="s">
        <v>255</v>
      </c>
      <c r="C23" s="20">
        <v>936940888</v>
      </c>
    </row>
    <row r="24" spans="1:3" ht="22.5" customHeight="1">
      <c r="A24" s="2"/>
      <c r="B24" s="126" t="s">
        <v>256</v>
      </c>
      <c r="C24" s="20">
        <v>196513200</v>
      </c>
    </row>
    <row r="25" spans="1:4" ht="15.75">
      <c r="A25" s="2" t="s">
        <v>3</v>
      </c>
      <c r="B25" s="5" t="s">
        <v>20</v>
      </c>
      <c r="C25" s="9">
        <f>SUM(C26:C33)</f>
        <v>2073939470</v>
      </c>
      <c r="D25" s="9">
        <v>2506416623</v>
      </c>
    </row>
    <row r="26" spans="1:3" ht="15">
      <c r="A26" s="2"/>
      <c r="B26" s="6" t="s">
        <v>247</v>
      </c>
      <c r="C26" s="20">
        <v>48000000</v>
      </c>
    </row>
    <row r="27" spans="1:3" ht="15">
      <c r="A27" s="2"/>
      <c r="B27" s="6" t="s">
        <v>248</v>
      </c>
      <c r="C27" s="20">
        <f>345000000+81324470</f>
        <v>426324470</v>
      </c>
    </row>
    <row r="28" spans="1:3" ht="15">
      <c r="A28" s="2"/>
      <c r="B28" s="6" t="s">
        <v>80</v>
      </c>
      <c r="C28" s="20">
        <v>1265915000</v>
      </c>
    </row>
    <row r="29" spans="1:4" ht="15">
      <c r="A29" s="2"/>
      <c r="B29" s="6" t="s">
        <v>249</v>
      </c>
      <c r="C29" s="20">
        <v>20000000</v>
      </c>
      <c r="D29" s="39">
        <f>C20+C21+C23+C24</f>
        <v>5290377210</v>
      </c>
    </row>
    <row r="30" spans="1:3" ht="15">
      <c r="A30" s="2"/>
      <c r="B30" s="6" t="s">
        <v>250</v>
      </c>
      <c r="C30" s="20">
        <v>13500000</v>
      </c>
    </row>
    <row r="31" spans="1:3" ht="15">
      <c r="A31" s="2"/>
      <c r="B31" s="6" t="s">
        <v>136</v>
      </c>
      <c r="C31" s="20">
        <v>1200000</v>
      </c>
    </row>
    <row r="32" spans="1:3" ht="15">
      <c r="A32" s="2"/>
      <c r="B32" s="6" t="s">
        <v>81</v>
      </c>
      <c r="C32" s="20">
        <v>150000000</v>
      </c>
    </row>
    <row r="33" spans="1:3" ht="15">
      <c r="A33" s="2"/>
      <c r="B33" s="6" t="s">
        <v>257</v>
      </c>
      <c r="C33" s="20">
        <v>149000000</v>
      </c>
    </row>
    <row r="34" spans="1:3" ht="18">
      <c r="A34" s="13"/>
      <c r="B34" s="14" t="s">
        <v>44</v>
      </c>
      <c r="C34" s="9">
        <f>C18</f>
        <v>9023116680</v>
      </c>
    </row>
    <row r="35" spans="1:3" ht="15.75">
      <c r="A35" s="2"/>
      <c r="B35" s="4"/>
      <c r="C35" s="9"/>
    </row>
    <row r="36" spans="1:3" ht="15">
      <c r="A36" s="3"/>
      <c r="C36" s="16" t="s">
        <v>259</v>
      </c>
    </row>
    <row r="37" spans="1:3" ht="15.75">
      <c r="A37" s="3"/>
      <c r="B37" s="32" t="s">
        <v>30</v>
      </c>
      <c r="C37" s="15" t="s">
        <v>45</v>
      </c>
    </row>
    <row r="38" ht="15.75">
      <c r="B38" s="7"/>
    </row>
    <row r="39" ht="15">
      <c r="B39" s="25"/>
    </row>
    <row r="40" ht="15">
      <c r="B40" s="25"/>
    </row>
    <row r="41" ht="15">
      <c r="B41" s="25"/>
    </row>
    <row r="42" ht="15">
      <c r="B42" s="25"/>
    </row>
    <row r="43" ht="15">
      <c r="B43" s="25"/>
    </row>
    <row r="44" spans="2:4" ht="21" customHeight="1">
      <c r="B44" s="104" t="s">
        <v>227</v>
      </c>
      <c r="C44" s="15" t="s">
        <v>23</v>
      </c>
      <c r="D44" s="125"/>
    </row>
    <row r="45" ht="15.75">
      <c r="B45" s="7"/>
    </row>
    <row r="46" ht="21" customHeight="1">
      <c r="B46" s="7"/>
    </row>
  </sheetData>
  <sheetProtection/>
  <mergeCells count="4">
    <mergeCell ref="A7:C7"/>
    <mergeCell ref="A8:C8"/>
    <mergeCell ref="A9:C9"/>
    <mergeCell ref="A10:C10"/>
  </mergeCells>
  <printOptions horizontalCentered="1"/>
  <pageMargins left="0" right="0"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P308"/>
  <sheetViews>
    <sheetView zoomScalePageLayoutView="0" workbookViewId="0" topLeftCell="A1">
      <selection activeCell="J50" sqref="J50"/>
    </sheetView>
  </sheetViews>
  <sheetFormatPr defaultColWidth="9.140625" defaultRowHeight="12.75"/>
  <cols>
    <col min="1" max="1" width="4.421875" style="0" customWidth="1"/>
    <col min="2" max="2" width="29.57421875" style="0" customWidth="1"/>
    <col min="3" max="3" width="14.421875" style="0" customWidth="1"/>
    <col min="4" max="4" width="17.57421875" style="0" customWidth="1"/>
    <col min="5" max="5" width="14.00390625" style="0" customWidth="1"/>
    <col min="6" max="6" width="14.57421875" style="0" customWidth="1"/>
    <col min="7" max="7" width="9.8515625" style="0" customWidth="1"/>
    <col min="11" max="11" width="17.140625" style="0" customWidth="1"/>
    <col min="12" max="12" width="14.8515625" style="27" customWidth="1"/>
    <col min="13" max="13" width="15.421875" style="27" customWidth="1"/>
    <col min="14" max="14" width="14.8515625" style="27" customWidth="1"/>
    <col min="15" max="15" width="15.28125" style="27" customWidth="1"/>
    <col min="16" max="16" width="20.7109375" style="0" customWidth="1"/>
  </cols>
  <sheetData>
    <row r="2" spans="2:7" ht="12.75">
      <c r="B2" s="217" t="s">
        <v>33</v>
      </c>
      <c r="C2" s="217"/>
      <c r="D2" s="217"/>
      <c r="E2" s="217"/>
      <c r="F2" s="217"/>
      <c r="G2" s="217"/>
    </row>
    <row r="3" ht="12.75">
      <c r="B3" s="3"/>
    </row>
    <row r="4" spans="1:4" ht="15.75">
      <c r="A4" s="7" t="s">
        <v>21</v>
      </c>
      <c r="B4" s="7"/>
      <c r="C4" s="7"/>
      <c r="D4" s="3"/>
    </row>
    <row r="5" spans="1:4" ht="15.75">
      <c r="A5" s="7" t="s">
        <v>12</v>
      </c>
      <c r="B5" s="7"/>
      <c r="C5" s="7"/>
      <c r="D5" s="3"/>
    </row>
    <row r="6" ht="12.75">
      <c r="A6" s="3"/>
    </row>
    <row r="7" spans="1:7" ht="18">
      <c r="A7" s="216" t="s">
        <v>14</v>
      </c>
      <c r="B7" s="216"/>
      <c r="C7" s="216"/>
      <c r="D7" s="216"/>
      <c r="E7" s="216"/>
      <c r="F7" s="216"/>
      <c r="G7" s="216"/>
    </row>
    <row r="8" spans="1:6" ht="18">
      <c r="A8" s="216" t="s">
        <v>319</v>
      </c>
      <c r="B8" s="216"/>
      <c r="C8" s="216"/>
      <c r="D8" s="216"/>
      <c r="E8" s="216"/>
      <c r="F8" s="216"/>
    </row>
    <row r="9" spans="1:5" ht="19.5" customHeight="1">
      <c r="A9" s="3"/>
      <c r="B9" s="7"/>
      <c r="C9" s="7"/>
      <c r="D9" s="18" t="s">
        <v>15</v>
      </c>
      <c r="E9" s="18"/>
    </row>
    <row r="10" spans="1:7" ht="33" customHeight="1">
      <c r="A10" s="224" t="s">
        <v>0</v>
      </c>
      <c r="B10" s="226" t="s">
        <v>8</v>
      </c>
      <c r="C10" s="220" t="s">
        <v>26</v>
      </c>
      <c r="D10" s="220" t="s">
        <v>25</v>
      </c>
      <c r="E10" s="218" t="s">
        <v>27</v>
      </c>
      <c r="F10" s="218" t="s">
        <v>28</v>
      </c>
      <c r="G10" s="219" t="s">
        <v>29</v>
      </c>
    </row>
    <row r="11" spans="1:7" ht="26.25" customHeight="1">
      <c r="A11" s="225"/>
      <c r="B11" s="227"/>
      <c r="C11" s="221"/>
      <c r="D11" s="221"/>
      <c r="E11" s="218"/>
      <c r="F11" s="218"/>
      <c r="G11" s="219"/>
    </row>
    <row r="12" spans="1:15" s="22" customFormat="1" ht="15.75">
      <c r="A12" s="24"/>
      <c r="B12" s="2"/>
      <c r="C12" s="35"/>
      <c r="D12" s="35"/>
      <c r="E12" s="21"/>
      <c r="F12" s="21"/>
      <c r="G12" s="21"/>
      <c r="L12" s="36"/>
      <c r="M12" s="36"/>
      <c r="N12" s="36"/>
      <c r="O12" s="36"/>
    </row>
    <row r="13" spans="1:15" s="22" customFormat="1" ht="16.5" customHeight="1">
      <c r="A13" s="13" t="s">
        <v>2</v>
      </c>
      <c r="B13" s="37" t="s">
        <v>31</v>
      </c>
      <c r="C13" s="34">
        <f>SUM(C14:C24)</f>
        <v>33756484</v>
      </c>
      <c r="D13" s="34">
        <f>SUM(D14:D24)</f>
        <v>2739852490</v>
      </c>
      <c r="E13" s="34">
        <f>SUM(E14:E24)</f>
        <v>1298829145</v>
      </c>
      <c r="F13" s="34">
        <f>SUM(F14:F24)</f>
        <v>1474779829</v>
      </c>
      <c r="G13" s="21"/>
      <c r="L13" s="36"/>
      <c r="M13" s="36"/>
      <c r="N13" s="36"/>
      <c r="O13" s="36"/>
    </row>
    <row r="14" spans="1:15" s="22" customFormat="1" ht="18" customHeight="1">
      <c r="A14" s="24">
        <v>1</v>
      </c>
      <c r="B14" s="106" t="s">
        <v>228</v>
      </c>
      <c r="C14" s="106">
        <v>9381000</v>
      </c>
      <c r="D14" s="106"/>
      <c r="E14" s="106"/>
      <c r="F14" s="29">
        <f aca="true" t="shared" si="0" ref="F14:F24">C14+D14-E14</f>
        <v>9381000</v>
      </c>
      <c r="G14" s="21"/>
      <c r="L14" s="36"/>
      <c r="M14" s="36"/>
      <c r="N14" s="36"/>
      <c r="O14" s="36"/>
    </row>
    <row r="15" spans="1:15" s="22" customFormat="1" ht="15.75" customHeight="1">
      <c r="A15" s="24">
        <v>2</v>
      </c>
      <c r="B15" s="106" t="s">
        <v>7</v>
      </c>
      <c r="C15" s="106">
        <v>12357000</v>
      </c>
      <c r="D15" s="106">
        <v>17040000</v>
      </c>
      <c r="E15" s="106">
        <v>500000</v>
      </c>
      <c r="F15" s="29">
        <f t="shared" si="0"/>
        <v>28897000</v>
      </c>
      <c r="G15" s="21"/>
      <c r="L15" s="36"/>
      <c r="M15" s="36"/>
      <c r="N15" s="36"/>
      <c r="O15" s="36"/>
    </row>
    <row r="16" spans="1:16" s="22" customFormat="1" ht="17.25" customHeight="1">
      <c r="A16" s="24">
        <v>3</v>
      </c>
      <c r="B16" s="106" t="s">
        <v>229</v>
      </c>
      <c r="C16" s="106">
        <v>12018484</v>
      </c>
      <c r="D16" s="106"/>
      <c r="E16" s="106"/>
      <c r="F16" s="29">
        <f t="shared" si="0"/>
        <v>12018484</v>
      </c>
      <c r="G16" s="21"/>
      <c r="K16" s="107">
        <v>170400000</v>
      </c>
      <c r="L16" s="102"/>
      <c r="M16" s="102"/>
      <c r="N16" s="102">
        <v>117336000</v>
      </c>
      <c r="O16" s="36"/>
      <c r="P16" s="39"/>
    </row>
    <row r="17" spans="1:16" s="22" customFormat="1" ht="17.25" customHeight="1">
      <c r="A17" s="24">
        <v>4</v>
      </c>
      <c r="B17" s="106" t="s">
        <v>202</v>
      </c>
      <c r="C17" s="106"/>
      <c r="D17" s="106">
        <v>996242490</v>
      </c>
      <c r="E17" s="106">
        <f>43555680+20604465</f>
        <v>64160145</v>
      </c>
      <c r="F17" s="29">
        <f t="shared" si="0"/>
        <v>932082345</v>
      </c>
      <c r="G17" s="21"/>
      <c r="L17" s="36"/>
      <c r="M17" s="36"/>
      <c r="N17" s="36"/>
      <c r="O17" s="36"/>
      <c r="P17" s="39"/>
    </row>
    <row r="18" spans="1:16" s="22" customFormat="1" ht="17.25" customHeight="1">
      <c r="A18" s="24">
        <v>5</v>
      </c>
      <c r="B18" s="106" t="s">
        <v>230</v>
      </c>
      <c r="C18" s="106"/>
      <c r="D18" s="106">
        <v>299340000</v>
      </c>
      <c r="E18" s="106"/>
      <c r="F18" s="29">
        <f t="shared" si="0"/>
        <v>299340000</v>
      </c>
      <c r="G18" s="21"/>
      <c r="L18" s="36"/>
      <c r="M18" s="36"/>
      <c r="N18" s="36"/>
      <c r="O18" s="36"/>
      <c r="P18" s="39"/>
    </row>
    <row r="19" spans="1:16" s="22" customFormat="1" ht="17.25" customHeight="1">
      <c r="A19" s="24">
        <v>6</v>
      </c>
      <c r="B19" s="106" t="s">
        <v>231</v>
      </c>
      <c r="C19" s="106"/>
      <c r="D19" s="106">
        <v>27296000</v>
      </c>
      <c r="E19" s="106"/>
      <c r="F19" s="29">
        <f t="shared" si="0"/>
        <v>27296000</v>
      </c>
      <c r="G19" s="21"/>
      <c r="K19" s="122">
        <f>SUM(K9:M18)</f>
        <v>170400000</v>
      </c>
      <c r="L19" s="123"/>
      <c r="M19" s="124"/>
      <c r="N19" s="105">
        <f>SUM(N9:N18)</f>
        <v>117336000</v>
      </c>
      <c r="O19" s="36"/>
      <c r="P19" s="39"/>
    </row>
    <row r="20" spans="1:16" s="22" customFormat="1" ht="17.25" customHeight="1">
      <c r="A20" s="24">
        <v>7</v>
      </c>
      <c r="B20" s="106" t="s">
        <v>232</v>
      </c>
      <c r="C20" s="106"/>
      <c r="D20" s="106">
        <v>112596000</v>
      </c>
      <c r="E20" s="106"/>
      <c r="F20" s="29">
        <f t="shared" si="0"/>
        <v>112596000</v>
      </c>
      <c r="G20" s="21"/>
      <c r="L20" s="36"/>
      <c r="M20" s="36"/>
      <c r="N20" s="36"/>
      <c r="O20" s="36"/>
      <c r="P20" s="39"/>
    </row>
    <row r="21" spans="1:16" s="22" customFormat="1" ht="17.25" customHeight="1">
      <c r="A21" s="24">
        <v>8</v>
      </c>
      <c r="B21" s="31" t="s">
        <v>233</v>
      </c>
      <c r="C21" s="38"/>
      <c r="D21" s="38">
        <v>170400000</v>
      </c>
      <c r="E21" s="38">
        <v>117336000</v>
      </c>
      <c r="F21" s="29">
        <f t="shared" si="0"/>
        <v>53064000</v>
      </c>
      <c r="G21" s="21"/>
      <c r="L21" s="36"/>
      <c r="M21" s="36"/>
      <c r="N21" s="36"/>
      <c r="O21" s="36"/>
      <c r="P21" s="39"/>
    </row>
    <row r="22" spans="1:16" s="22" customFormat="1" ht="17.25" customHeight="1">
      <c r="A22" s="24">
        <v>9</v>
      </c>
      <c r="B22" s="31" t="s">
        <v>234</v>
      </c>
      <c r="C22" s="38"/>
      <c r="D22" s="38">
        <v>980538000</v>
      </c>
      <c r="E22" s="38">
        <v>980538000</v>
      </c>
      <c r="F22" s="29">
        <f t="shared" si="0"/>
        <v>0</v>
      </c>
      <c r="G22" s="21"/>
      <c r="K22" s="22">
        <v>17050000</v>
      </c>
      <c r="L22" s="36"/>
      <c r="M22" s="36"/>
      <c r="N22" s="36">
        <v>17000000</v>
      </c>
      <c r="O22" s="36"/>
      <c r="P22" s="39"/>
    </row>
    <row r="23" spans="1:16" s="22" customFormat="1" ht="17.25" customHeight="1">
      <c r="A23" s="24">
        <v>10</v>
      </c>
      <c r="B23" s="31" t="s">
        <v>235</v>
      </c>
      <c r="C23" s="38"/>
      <c r="D23" s="38">
        <v>119350000</v>
      </c>
      <c r="E23" s="38">
        <v>119295000</v>
      </c>
      <c r="F23" s="29">
        <f t="shared" si="0"/>
        <v>55000</v>
      </c>
      <c r="G23" s="21"/>
      <c r="L23" s="36"/>
      <c r="M23" s="36"/>
      <c r="N23" s="36"/>
      <c r="O23" s="36"/>
      <c r="P23" s="39"/>
    </row>
    <row r="24" spans="1:15" s="22" customFormat="1" ht="15.75" customHeight="1">
      <c r="A24" s="24">
        <v>11</v>
      </c>
      <c r="B24" s="21" t="s">
        <v>236</v>
      </c>
      <c r="C24" s="38"/>
      <c r="D24" s="38">
        <v>17050000</v>
      </c>
      <c r="E24" s="38">
        <v>17000000</v>
      </c>
      <c r="F24" s="29">
        <f t="shared" si="0"/>
        <v>50000</v>
      </c>
      <c r="G24" s="21"/>
      <c r="L24" s="36"/>
      <c r="M24" s="36"/>
      <c r="N24" s="36"/>
      <c r="O24" s="36"/>
    </row>
    <row r="25" spans="1:15" s="22" customFormat="1" ht="15.75" customHeight="1">
      <c r="A25" s="118"/>
      <c r="B25" s="119"/>
      <c r="C25" s="120"/>
      <c r="D25" s="120"/>
      <c r="E25" s="120"/>
      <c r="F25" s="121"/>
      <c r="G25" s="119"/>
      <c r="L25" s="36"/>
      <c r="M25" s="36"/>
      <c r="N25" s="36"/>
      <c r="O25" s="36"/>
    </row>
    <row r="26" spans="1:15" s="22" customFormat="1" ht="15.75" customHeight="1">
      <c r="A26" s="118"/>
      <c r="B26" s="119"/>
      <c r="C26" s="120"/>
      <c r="D26" s="120"/>
      <c r="E26" s="120"/>
      <c r="F26" s="121"/>
      <c r="G26" s="119"/>
      <c r="L26" s="36"/>
      <c r="M26" s="36"/>
      <c r="N26" s="36"/>
      <c r="O26" s="36"/>
    </row>
    <row r="27" spans="1:15" s="22" customFormat="1" ht="15.75" customHeight="1">
      <c r="A27" s="118"/>
      <c r="B27" s="119"/>
      <c r="C27" s="120"/>
      <c r="D27" s="120"/>
      <c r="E27" s="120"/>
      <c r="F27" s="121"/>
      <c r="G27" s="119"/>
      <c r="L27" s="36"/>
      <c r="M27" s="36"/>
      <c r="N27" s="36"/>
      <c r="O27" s="36"/>
    </row>
    <row r="28" spans="1:15" s="22" customFormat="1" ht="15.75" customHeight="1">
      <c r="A28" s="118"/>
      <c r="B28" s="119"/>
      <c r="C28" s="120"/>
      <c r="D28" s="120"/>
      <c r="E28" s="120"/>
      <c r="F28" s="121"/>
      <c r="G28" s="119"/>
      <c r="L28" s="36"/>
      <c r="M28" s="36"/>
      <c r="N28" s="36"/>
      <c r="O28" s="36"/>
    </row>
    <row r="29" spans="1:15" s="22" customFormat="1" ht="15.75" customHeight="1">
      <c r="A29" s="118"/>
      <c r="B29" s="119"/>
      <c r="C29" s="120"/>
      <c r="D29" s="120"/>
      <c r="E29" s="120"/>
      <c r="F29" s="121"/>
      <c r="G29" s="119"/>
      <c r="L29" s="36"/>
      <c r="M29" s="36"/>
      <c r="N29" s="36"/>
      <c r="O29" s="36"/>
    </row>
    <row r="30" spans="1:15" s="22" customFormat="1" ht="15.75" customHeight="1">
      <c r="A30" s="118"/>
      <c r="B30" s="119"/>
      <c r="C30" s="120"/>
      <c r="D30" s="120"/>
      <c r="E30" s="120"/>
      <c r="F30" s="121"/>
      <c r="G30" s="119"/>
      <c r="L30" s="36"/>
      <c r="M30" s="36"/>
      <c r="N30" s="36"/>
      <c r="O30" s="36"/>
    </row>
    <row r="31" spans="1:15" s="22" customFormat="1" ht="15.75" customHeight="1">
      <c r="A31" s="118"/>
      <c r="B31" s="119"/>
      <c r="C31" s="120"/>
      <c r="D31" s="120"/>
      <c r="E31" s="120"/>
      <c r="F31" s="121"/>
      <c r="G31" s="119"/>
      <c r="L31" s="36"/>
      <c r="M31" s="36"/>
      <c r="N31" s="36"/>
      <c r="O31" s="36"/>
    </row>
    <row r="32" spans="1:15" s="22" customFormat="1" ht="15.75" customHeight="1">
      <c r="A32" s="118"/>
      <c r="B32" s="119"/>
      <c r="C32" s="120"/>
      <c r="D32" s="120"/>
      <c r="E32" s="120"/>
      <c r="F32" s="121"/>
      <c r="G32" s="119"/>
      <c r="L32" s="36"/>
      <c r="M32" s="36"/>
      <c r="N32" s="36"/>
      <c r="O32" s="36"/>
    </row>
    <row r="33" spans="1:15" s="22" customFormat="1" ht="15.75" customHeight="1">
      <c r="A33" s="118"/>
      <c r="B33" s="119"/>
      <c r="C33" s="120"/>
      <c r="D33" s="120"/>
      <c r="E33" s="120"/>
      <c r="F33" s="121"/>
      <c r="G33" s="119"/>
      <c r="L33" s="36"/>
      <c r="M33" s="36"/>
      <c r="N33" s="36"/>
      <c r="O33" s="36"/>
    </row>
    <row r="34" spans="1:15" s="22" customFormat="1" ht="15.75" customHeight="1">
      <c r="A34" s="118"/>
      <c r="B34" s="119"/>
      <c r="C34" s="120"/>
      <c r="D34" s="120"/>
      <c r="E34" s="120"/>
      <c r="F34" s="121"/>
      <c r="G34" s="119"/>
      <c r="L34" s="36"/>
      <c r="M34" s="36"/>
      <c r="N34" s="36"/>
      <c r="O34" s="36"/>
    </row>
    <row r="35" spans="1:15" s="22" customFormat="1" ht="15.75" customHeight="1">
      <c r="A35" s="118"/>
      <c r="B35" s="119"/>
      <c r="C35" s="120"/>
      <c r="D35" s="120"/>
      <c r="E35" s="120"/>
      <c r="F35" s="121"/>
      <c r="G35" s="119"/>
      <c r="L35" s="36"/>
      <c r="M35" s="36"/>
      <c r="N35" s="36"/>
      <c r="O35" s="36"/>
    </row>
    <row r="36" spans="1:15" s="22" customFormat="1" ht="15.75" customHeight="1">
      <c r="A36" s="118"/>
      <c r="B36" s="119"/>
      <c r="C36" s="120"/>
      <c r="D36" s="120"/>
      <c r="E36" s="120"/>
      <c r="F36" s="121"/>
      <c r="G36" s="119"/>
      <c r="L36" s="36"/>
      <c r="M36" s="36"/>
      <c r="N36" s="36"/>
      <c r="O36" s="36"/>
    </row>
    <row r="37" spans="1:15" s="22" customFormat="1" ht="15.75" customHeight="1">
      <c r="A37" s="118"/>
      <c r="B37" s="119"/>
      <c r="C37" s="120"/>
      <c r="D37" s="120"/>
      <c r="E37" s="120"/>
      <c r="F37" s="121"/>
      <c r="G37" s="119"/>
      <c r="L37" s="36"/>
      <c r="M37" s="36"/>
      <c r="N37" s="36"/>
      <c r="O37" s="36"/>
    </row>
    <row r="38" spans="1:15" s="22" customFormat="1" ht="15.75" customHeight="1">
      <c r="A38" s="118"/>
      <c r="B38" s="119"/>
      <c r="C38" s="120"/>
      <c r="D38" s="120"/>
      <c r="E38" s="120"/>
      <c r="F38" s="121"/>
      <c r="G38" s="119"/>
      <c r="L38" s="36"/>
      <c r="M38" s="36"/>
      <c r="N38" s="36"/>
      <c r="O38" s="36"/>
    </row>
    <row r="39" spans="1:15" s="22" customFormat="1" ht="15.75" customHeight="1">
      <c r="A39" s="118"/>
      <c r="B39" s="119"/>
      <c r="C39" s="120"/>
      <c r="D39" s="120"/>
      <c r="E39" s="120"/>
      <c r="F39" s="121"/>
      <c r="G39" s="119"/>
      <c r="L39" s="36"/>
      <c r="M39" s="36"/>
      <c r="N39" s="36"/>
      <c r="O39" s="36"/>
    </row>
    <row r="40" spans="1:15" s="22" customFormat="1" ht="15.75" customHeight="1">
      <c r="A40" s="118"/>
      <c r="B40" s="119"/>
      <c r="C40" s="120"/>
      <c r="D40" s="120"/>
      <c r="E40" s="120"/>
      <c r="F40" s="121"/>
      <c r="G40" s="119"/>
      <c r="L40" s="36"/>
      <c r="M40" s="36"/>
      <c r="N40" s="36"/>
      <c r="O40" s="36"/>
    </row>
    <row r="41" spans="1:15" s="22" customFormat="1" ht="15.75" customHeight="1">
      <c r="A41" s="118"/>
      <c r="B41" s="119"/>
      <c r="C41" s="120"/>
      <c r="D41" s="120"/>
      <c r="E41" s="120"/>
      <c r="F41" s="121"/>
      <c r="G41" s="119"/>
      <c r="L41" s="36"/>
      <c r="M41" s="36"/>
      <c r="N41" s="36"/>
      <c r="O41" s="36"/>
    </row>
    <row r="42" spans="1:15" s="22" customFormat="1" ht="15.75" customHeight="1">
      <c r="A42" s="118"/>
      <c r="B42" s="119"/>
      <c r="C42" s="120"/>
      <c r="D42" s="120"/>
      <c r="E42" s="120"/>
      <c r="F42" s="121"/>
      <c r="G42" s="119"/>
      <c r="L42" s="36"/>
      <c r="M42" s="36"/>
      <c r="N42" s="36"/>
      <c r="O42" s="36"/>
    </row>
    <row r="43" spans="1:15" s="22" customFormat="1" ht="15.75" customHeight="1">
      <c r="A43" s="118"/>
      <c r="B43" s="119"/>
      <c r="C43" s="120"/>
      <c r="D43" s="120"/>
      <c r="E43" s="120"/>
      <c r="F43" s="121"/>
      <c r="G43" s="119"/>
      <c r="L43" s="36"/>
      <c r="M43" s="36"/>
      <c r="N43" s="36"/>
      <c r="O43" s="36"/>
    </row>
    <row r="44" spans="1:15" s="22" customFormat="1" ht="15.75" customHeight="1">
      <c r="A44" s="118"/>
      <c r="B44" s="119"/>
      <c r="C44" s="120"/>
      <c r="D44" s="120"/>
      <c r="E44" s="120"/>
      <c r="F44" s="121"/>
      <c r="G44" s="119"/>
      <c r="L44" s="36"/>
      <c r="M44" s="36"/>
      <c r="N44" s="36"/>
      <c r="O44" s="36"/>
    </row>
    <row r="45" spans="1:15" s="22" customFormat="1" ht="15.75" customHeight="1">
      <c r="A45" s="118"/>
      <c r="B45" s="119"/>
      <c r="C45" s="120"/>
      <c r="D45" s="120"/>
      <c r="E45" s="120"/>
      <c r="F45" s="121"/>
      <c r="G45" s="119"/>
      <c r="L45" s="36"/>
      <c r="M45" s="36"/>
      <c r="N45" s="36"/>
      <c r="O45" s="36"/>
    </row>
    <row r="46" spans="1:15" s="22" customFormat="1" ht="15.75" customHeight="1">
      <c r="A46" s="217" t="s">
        <v>33</v>
      </c>
      <c r="B46" s="217"/>
      <c r="C46" s="217"/>
      <c r="D46" s="217"/>
      <c r="E46" s="217"/>
      <c r="F46" s="217"/>
      <c r="G46" s="217"/>
      <c r="L46" s="36"/>
      <c r="M46" s="36"/>
      <c r="N46" s="36"/>
      <c r="O46" s="36"/>
    </row>
    <row r="47" spans="1:15" s="22" customFormat="1" ht="15.75" customHeight="1">
      <c r="A47" s="118"/>
      <c r="B47" s="119"/>
      <c r="C47" s="120"/>
      <c r="D47" s="120"/>
      <c r="E47" s="120"/>
      <c r="F47" s="121"/>
      <c r="G47" s="119"/>
      <c r="L47" s="36"/>
      <c r="M47" s="36"/>
      <c r="N47" s="36"/>
      <c r="O47" s="36"/>
    </row>
    <row r="48" spans="1:15" s="22" customFormat="1" ht="15.75" customHeight="1">
      <c r="A48" s="7" t="s">
        <v>21</v>
      </c>
      <c r="B48" s="7"/>
      <c r="C48" s="7"/>
      <c r="D48" s="3"/>
      <c r="E48"/>
      <c r="F48"/>
      <c r="G48"/>
      <c r="L48" s="36"/>
      <c r="M48" s="36"/>
      <c r="N48" s="36"/>
      <c r="O48" s="36"/>
    </row>
    <row r="49" spans="1:15" s="22" customFormat="1" ht="15.75" customHeight="1">
      <c r="A49" s="7" t="s">
        <v>12</v>
      </c>
      <c r="B49" s="7"/>
      <c r="C49" s="7"/>
      <c r="D49" s="3"/>
      <c r="E49"/>
      <c r="F49"/>
      <c r="G49"/>
      <c r="L49" s="36"/>
      <c r="M49" s="36"/>
      <c r="N49" s="36"/>
      <c r="O49" s="36"/>
    </row>
    <row r="50" spans="1:15" s="22" customFormat="1" ht="15.75" customHeight="1">
      <c r="A50" s="3"/>
      <c r="B50"/>
      <c r="C50"/>
      <c r="D50"/>
      <c r="E50"/>
      <c r="F50"/>
      <c r="G50"/>
      <c r="L50" s="36"/>
      <c r="M50" s="36"/>
      <c r="N50" s="36"/>
      <c r="O50" s="36"/>
    </row>
    <row r="51" spans="1:15" s="22" customFormat="1" ht="21.75" customHeight="1">
      <c r="A51" s="216" t="s">
        <v>14</v>
      </c>
      <c r="B51" s="216"/>
      <c r="C51" s="216"/>
      <c r="D51" s="216"/>
      <c r="E51" s="216"/>
      <c r="F51" s="216"/>
      <c r="G51" s="216"/>
      <c r="L51" s="36"/>
      <c r="M51" s="36"/>
      <c r="N51" s="36"/>
      <c r="O51" s="36"/>
    </row>
    <row r="52" spans="1:15" s="22" customFormat="1" ht="19.5" customHeight="1">
      <c r="A52" s="216" t="s">
        <v>319</v>
      </c>
      <c r="B52" s="216"/>
      <c r="C52" s="216"/>
      <c r="D52" s="216"/>
      <c r="E52" s="216"/>
      <c r="F52" s="216"/>
      <c r="G52"/>
      <c r="L52" s="36"/>
      <c r="M52" s="36"/>
      <c r="N52" s="36"/>
      <c r="O52" s="36"/>
    </row>
    <row r="53" spans="1:15" s="22" customFormat="1" ht="15.75" customHeight="1" thickBot="1">
      <c r="A53" s="3"/>
      <c r="B53" s="7"/>
      <c r="C53" s="7"/>
      <c r="D53" s="18" t="s">
        <v>15</v>
      </c>
      <c r="E53" s="18"/>
      <c r="F53"/>
      <c r="G53"/>
      <c r="L53" s="36"/>
      <c r="M53" s="36"/>
      <c r="N53" s="36"/>
      <c r="O53" s="36"/>
    </row>
    <row r="54" spans="1:15" s="22" customFormat="1" ht="15.75" customHeight="1" thickBot="1">
      <c r="A54" s="170" t="s">
        <v>320</v>
      </c>
      <c r="B54" s="171"/>
      <c r="C54" s="230" t="s">
        <v>321</v>
      </c>
      <c r="D54" s="231"/>
      <c r="E54" s="231"/>
      <c r="F54" s="232"/>
      <c r="G54" s="233" t="s">
        <v>322</v>
      </c>
      <c r="L54" s="36"/>
      <c r="M54" s="36"/>
      <c r="N54" s="36"/>
      <c r="O54" s="36"/>
    </row>
    <row r="55" spans="1:15" s="22" customFormat="1" ht="15.75" customHeight="1">
      <c r="A55" s="172" t="s">
        <v>0</v>
      </c>
      <c r="B55" s="173" t="s">
        <v>323</v>
      </c>
      <c r="C55" s="174" t="s">
        <v>324</v>
      </c>
      <c r="D55" s="236" t="s">
        <v>325</v>
      </c>
      <c r="E55" s="238" t="s">
        <v>27</v>
      </c>
      <c r="F55" s="238" t="s">
        <v>326</v>
      </c>
      <c r="G55" s="234"/>
      <c r="L55" s="36"/>
      <c r="M55" s="36"/>
      <c r="N55" s="36"/>
      <c r="O55" s="36"/>
    </row>
    <row r="56" spans="1:15" s="22" customFormat="1" ht="15.75" customHeight="1" thickBot="1">
      <c r="A56" s="175"/>
      <c r="B56" s="176"/>
      <c r="C56" s="177" t="s">
        <v>327</v>
      </c>
      <c r="D56" s="237"/>
      <c r="E56" s="239"/>
      <c r="F56" s="239"/>
      <c r="G56" s="235"/>
      <c r="L56" s="36"/>
      <c r="M56" s="36"/>
      <c r="N56" s="36"/>
      <c r="O56" s="36"/>
    </row>
    <row r="57" spans="1:15" s="22" customFormat="1" ht="15.75" customHeight="1" thickBot="1">
      <c r="A57" s="178" t="s">
        <v>328</v>
      </c>
      <c r="B57" s="179" t="s">
        <v>329</v>
      </c>
      <c r="C57" s="179">
        <v>1</v>
      </c>
      <c r="D57" s="179">
        <v>2</v>
      </c>
      <c r="E57" s="180">
        <v>3</v>
      </c>
      <c r="F57" s="179">
        <v>4</v>
      </c>
      <c r="G57" s="180" t="s">
        <v>330</v>
      </c>
      <c r="L57" s="36"/>
      <c r="M57" s="36"/>
      <c r="N57" s="36"/>
      <c r="O57" s="36"/>
    </row>
    <row r="58" spans="1:15" s="22" customFormat="1" ht="15.75" customHeight="1" thickBot="1">
      <c r="A58" s="181">
        <v>1</v>
      </c>
      <c r="B58" s="182" t="s">
        <v>331</v>
      </c>
      <c r="C58" s="183">
        <v>9381000</v>
      </c>
      <c r="D58" s="182"/>
      <c r="E58" s="182"/>
      <c r="F58" s="183">
        <v>9381000</v>
      </c>
      <c r="G58" s="180"/>
      <c r="L58" s="36"/>
      <c r="M58" s="36"/>
      <c r="N58" s="36"/>
      <c r="O58" s="36"/>
    </row>
    <row r="59" spans="1:15" s="22" customFormat="1" ht="15.75" customHeight="1" thickBot="1">
      <c r="A59" s="181">
        <v>2</v>
      </c>
      <c r="B59" s="182" t="s">
        <v>332</v>
      </c>
      <c r="C59" s="183">
        <v>10357000</v>
      </c>
      <c r="D59" s="182"/>
      <c r="E59" s="183">
        <v>600000</v>
      </c>
      <c r="F59" s="183">
        <v>9757000</v>
      </c>
      <c r="G59" s="180"/>
      <c r="L59" s="36"/>
      <c r="M59" s="36"/>
      <c r="N59" s="36"/>
      <c r="O59" s="36"/>
    </row>
    <row r="60" spans="1:15" s="22" customFormat="1" ht="15.75" customHeight="1" thickBot="1">
      <c r="A60" s="181">
        <v>3</v>
      </c>
      <c r="B60" s="182" t="s">
        <v>333</v>
      </c>
      <c r="C60" s="183">
        <v>11448000</v>
      </c>
      <c r="D60" s="184">
        <v>34345322</v>
      </c>
      <c r="E60" s="185"/>
      <c r="F60" s="183">
        <v>45793322</v>
      </c>
      <c r="G60" s="180"/>
      <c r="L60" s="36"/>
      <c r="M60" s="36"/>
      <c r="N60" s="36"/>
      <c r="O60" s="36"/>
    </row>
    <row r="61" spans="1:15" s="22" customFormat="1" ht="15.75" customHeight="1" thickBot="1">
      <c r="A61" s="181">
        <v>4</v>
      </c>
      <c r="B61" s="182" t="s">
        <v>334</v>
      </c>
      <c r="C61" s="183">
        <v>932082345</v>
      </c>
      <c r="D61" s="182"/>
      <c r="E61" s="183">
        <v>920864700</v>
      </c>
      <c r="F61" s="183">
        <v>11217645</v>
      </c>
      <c r="G61" s="180"/>
      <c r="L61" s="36"/>
      <c r="M61" s="36"/>
      <c r="N61" s="36"/>
      <c r="O61" s="36"/>
    </row>
    <row r="62" spans="1:15" s="22" customFormat="1" ht="15.75" customHeight="1" thickBot="1">
      <c r="A62" s="181">
        <v>5</v>
      </c>
      <c r="B62" s="182" t="s">
        <v>335</v>
      </c>
      <c r="C62" s="182" t="s">
        <v>336</v>
      </c>
      <c r="D62" s="182"/>
      <c r="E62" s="185"/>
      <c r="F62" s="186" t="s">
        <v>337</v>
      </c>
      <c r="G62" s="180"/>
      <c r="L62" s="36"/>
      <c r="M62" s="36"/>
      <c r="N62" s="36"/>
      <c r="O62" s="36"/>
    </row>
    <row r="63" spans="1:15" s="22" customFormat="1" ht="15.75" customHeight="1" thickBot="1">
      <c r="A63" s="181">
        <v>6</v>
      </c>
      <c r="B63" s="182" t="s">
        <v>338</v>
      </c>
      <c r="C63" s="183">
        <v>27296000</v>
      </c>
      <c r="D63" s="182"/>
      <c r="E63" s="183">
        <v>27296000</v>
      </c>
      <c r="F63" s="186" t="s">
        <v>337</v>
      </c>
      <c r="G63" s="180"/>
      <c r="L63" s="36"/>
      <c r="M63" s="36"/>
      <c r="N63" s="36"/>
      <c r="O63" s="36"/>
    </row>
    <row r="64" spans="1:15" s="22" customFormat="1" ht="15.75" customHeight="1" thickBot="1">
      <c r="A64" s="181">
        <v>7</v>
      </c>
      <c r="B64" s="182" t="s">
        <v>339</v>
      </c>
      <c r="C64" s="182" t="s">
        <v>336</v>
      </c>
      <c r="D64" s="182"/>
      <c r="E64" s="182"/>
      <c r="F64" s="186" t="s">
        <v>337</v>
      </c>
      <c r="G64" s="180"/>
      <c r="L64" s="36"/>
      <c r="M64" s="36"/>
      <c r="N64" s="36"/>
      <c r="O64" s="36"/>
    </row>
    <row r="65" spans="1:15" s="22" customFormat="1" ht="15.75" customHeight="1" thickBot="1">
      <c r="A65" s="181">
        <v>8</v>
      </c>
      <c r="B65" s="182" t="s">
        <v>340</v>
      </c>
      <c r="C65" s="182" t="s">
        <v>336</v>
      </c>
      <c r="D65" s="187">
        <v>920811000</v>
      </c>
      <c r="E65" s="183">
        <v>920811000</v>
      </c>
      <c r="F65" s="186" t="s">
        <v>337</v>
      </c>
      <c r="G65" s="180"/>
      <c r="L65" s="36"/>
      <c r="M65" s="36"/>
      <c r="N65" s="36"/>
      <c r="O65" s="36"/>
    </row>
    <row r="66" spans="1:15" s="22" customFormat="1" ht="15.75" customHeight="1" thickBot="1">
      <c r="A66" s="181">
        <v>9</v>
      </c>
      <c r="B66" s="182" t="s">
        <v>341</v>
      </c>
      <c r="C66" s="183">
        <v>379000</v>
      </c>
      <c r="D66" s="187">
        <v>119140000</v>
      </c>
      <c r="E66" s="183">
        <v>119300000</v>
      </c>
      <c r="F66" s="183">
        <v>219000</v>
      </c>
      <c r="G66" s="180"/>
      <c r="L66" s="36"/>
      <c r="M66" s="36"/>
      <c r="N66" s="36"/>
      <c r="O66" s="36"/>
    </row>
    <row r="67" spans="1:15" s="22" customFormat="1" ht="15.75" customHeight="1" thickBot="1">
      <c r="A67" s="181">
        <v>10</v>
      </c>
      <c r="B67" s="182" t="s">
        <v>342</v>
      </c>
      <c r="C67" s="183">
        <v>13064000</v>
      </c>
      <c r="D67" s="183">
        <v>130000000</v>
      </c>
      <c r="E67" s="187">
        <v>130039000</v>
      </c>
      <c r="F67" s="183">
        <v>13025000</v>
      </c>
      <c r="G67" s="180"/>
      <c r="L67" s="36"/>
      <c r="M67" s="36"/>
      <c r="N67" s="36"/>
      <c r="O67" s="36"/>
    </row>
    <row r="68" spans="1:15" s="22" customFormat="1" ht="15.75" customHeight="1" thickBot="1">
      <c r="A68" s="181">
        <v>11</v>
      </c>
      <c r="B68" s="182" t="s">
        <v>343</v>
      </c>
      <c r="C68" s="183">
        <v>150000</v>
      </c>
      <c r="D68" s="183">
        <v>17020000</v>
      </c>
      <c r="E68" s="183">
        <v>17000000</v>
      </c>
      <c r="F68" s="183">
        <v>170000</v>
      </c>
      <c r="G68" s="180"/>
      <c r="L68" s="36"/>
      <c r="M68" s="36"/>
      <c r="N68" s="36"/>
      <c r="O68" s="36"/>
    </row>
    <row r="69" spans="1:15" s="22" customFormat="1" ht="15.75" customHeight="1" thickBot="1">
      <c r="A69" s="181">
        <v>12</v>
      </c>
      <c r="B69" s="182" t="s">
        <v>344</v>
      </c>
      <c r="C69" s="183">
        <v>98879000</v>
      </c>
      <c r="D69" s="188"/>
      <c r="E69" s="189">
        <v>16200000</v>
      </c>
      <c r="F69" s="190">
        <v>82679000</v>
      </c>
      <c r="G69" s="180"/>
      <c r="L69" s="36"/>
      <c r="M69" s="36"/>
      <c r="N69" s="36"/>
      <c r="O69" s="36"/>
    </row>
    <row r="70" spans="1:15" s="22" customFormat="1" ht="15.75" customHeight="1" thickBot="1">
      <c r="A70" s="191"/>
      <c r="B70" s="181" t="s">
        <v>345</v>
      </c>
      <c r="C70" s="183">
        <v>1103036345</v>
      </c>
      <c r="D70" s="183">
        <v>1221316322</v>
      </c>
      <c r="E70" s="192">
        <v>2152110700</v>
      </c>
      <c r="F70" s="183">
        <v>172241967</v>
      </c>
      <c r="G70" s="180"/>
      <c r="L70" s="36"/>
      <c r="M70" s="36"/>
      <c r="N70" s="36"/>
      <c r="O70" s="36"/>
    </row>
    <row r="71" spans="1:15" s="22" customFormat="1" ht="15.75" customHeight="1">
      <c r="A71" s="193"/>
      <c r="B71" s="193"/>
      <c r="C71" s="194"/>
      <c r="D71" s="193"/>
      <c r="E71" s="193"/>
      <c r="F71" s="193"/>
      <c r="G71" s="193"/>
      <c r="L71" s="36"/>
      <c r="M71" s="36"/>
      <c r="N71" s="36"/>
      <c r="O71" s="36"/>
    </row>
    <row r="72" spans="1:15" s="22" customFormat="1" ht="15.75" customHeight="1">
      <c r="A72" s="193"/>
      <c r="B72" s="193"/>
      <c r="C72" s="193"/>
      <c r="D72" s="193"/>
      <c r="E72" s="193"/>
      <c r="F72" s="193"/>
      <c r="G72" s="193"/>
      <c r="L72" s="36"/>
      <c r="M72" s="36"/>
      <c r="N72" s="36"/>
      <c r="O72" s="36"/>
    </row>
    <row r="73" spans="1:15" s="22" customFormat="1" ht="15.75" customHeight="1">
      <c r="A73" s="167"/>
      <c r="B73" s="167"/>
      <c r="C73" s="240" t="s">
        <v>346</v>
      </c>
      <c r="D73" s="240"/>
      <c r="E73" s="240"/>
      <c r="F73" s="240"/>
      <c r="G73" s="240"/>
      <c r="L73" s="36"/>
      <c r="M73" s="36"/>
      <c r="N73" s="36"/>
      <c r="O73" s="36"/>
    </row>
    <row r="74" spans="1:15" s="22" customFormat="1" ht="15.75" customHeight="1">
      <c r="A74" s="166"/>
      <c r="B74" s="195" t="s">
        <v>347</v>
      </c>
      <c r="C74" s="222" t="s">
        <v>348</v>
      </c>
      <c r="D74" s="222"/>
      <c r="E74" s="222" t="s">
        <v>349</v>
      </c>
      <c r="F74" s="222"/>
      <c r="G74" s="166"/>
      <c r="L74" s="36"/>
      <c r="M74" s="36"/>
      <c r="N74" s="36"/>
      <c r="O74" s="36"/>
    </row>
    <row r="75" spans="1:15" s="22" customFormat="1" ht="15.75" customHeight="1">
      <c r="A75" s="167"/>
      <c r="B75" s="167"/>
      <c r="C75" s="167"/>
      <c r="D75" s="167"/>
      <c r="E75" s="167"/>
      <c r="F75" s="167"/>
      <c r="G75" s="167"/>
      <c r="L75" s="36"/>
      <c r="M75" s="36"/>
      <c r="N75" s="36"/>
      <c r="O75" s="36"/>
    </row>
    <row r="76" spans="1:15" s="22" customFormat="1" ht="15.75" customHeight="1">
      <c r="A76"/>
      <c r="B76"/>
      <c r="C76"/>
      <c r="D76"/>
      <c r="E76"/>
      <c r="F76"/>
      <c r="G76"/>
      <c r="L76" s="36"/>
      <c r="M76" s="36"/>
      <c r="N76" s="36"/>
      <c r="O76" s="36"/>
    </row>
    <row r="77" spans="1:15" s="22" customFormat="1" ht="15.75" customHeight="1">
      <c r="A77"/>
      <c r="B77"/>
      <c r="C77"/>
      <c r="D77"/>
      <c r="E77"/>
      <c r="F77"/>
      <c r="G77"/>
      <c r="L77" s="36"/>
      <c r="M77" s="36"/>
      <c r="N77" s="36"/>
      <c r="O77" s="36"/>
    </row>
    <row r="78" spans="1:15" s="22" customFormat="1" ht="15.75" customHeight="1">
      <c r="A78"/>
      <c r="B78"/>
      <c r="C78"/>
      <c r="D78"/>
      <c r="E78"/>
      <c r="F78"/>
      <c r="G78"/>
      <c r="L78" s="36"/>
      <c r="M78" s="36"/>
      <c r="N78" s="36"/>
      <c r="O78" s="36"/>
    </row>
    <row r="79" spans="1:15" s="22" customFormat="1" ht="15.75" customHeight="1">
      <c r="A79"/>
      <c r="B79"/>
      <c r="C79"/>
      <c r="D79"/>
      <c r="E79"/>
      <c r="F79"/>
      <c r="G79"/>
      <c r="L79" s="36"/>
      <c r="M79" s="36"/>
      <c r="N79" s="36"/>
      <c r="O79" s="36"/>
    </row>
    <row r="80" spans="1:15" s="22" customFormat="1" ht="15.75" customHeight="1">
      <c r="A80"/>
      <c r="B80"/>
      <c r="C80"/>
      <c r="D80"/>
      <c r="E80"/>
      <c r="F80"/>
      <c r="G80"/>
      <c r="L80" s="36"/>
      <c r="M80" s="36"/>
      <c r="N80" s="36"/>
      <c r="O80" s="36"/>
    </row>
    <row r="81" spans="1:15" s="22" customFormat="1" ht="15.75" customHeight="1">
      <c r="A81" s="196"/>
      <c r="B81" s="196" t="s">
        <v>350</v>
      </c>
      <c r="C81" s="223" t="s">
        <v>351</v>
      </c>
      <c r="D81" s="223"/>
      <c r="E81" s="223" t="s">
        <v>352</v>
      </c>
      <c r="F81" s="223"/>
      <c r="G81" s="25"/>
      <c r="L81" s="36"/>
      <c r="M81" s="36"/>
      <c r="N81" s="36"/>
      <c r="O81" s="36"/>
    </row>
    <row r="82" spans="1:15" s="22" customFormat="1" ht="15.75" customHeight="1">
      <c r="A82" s="193"/>
      <c r="B82" s="193"/>
      <c r="C82" s="193"/>
      <c r="D82" s="193"/>
      <c r="E82" s="193"/>
      <c r="F82" s="193"/>
      <c r="G82" s="193"/>
      <c r="L82" s="36"/>
      <c r="M82" s="36"/>
      <c r="N82" s="36"/>
      <c r="O82" s="36"/>
    </row>
    <row r="83" spans="1:15" s="22" customFormat="1" ht="15.75" customHeight="1">
      <c r="A83" s="193"/>
      <c r="B83" s="193"/>
      <c r="C83" s="193"/>
      <c r="D83" s="193"/>
      <c r="E83" s="193"/>
      <c r="F83" s="193"/>
      <c r="G83" s="193"/>
      <c r="L83" s="36"/>
      <c r="M83" s="36"/>
      <c r="N83" s="36"/>
      <c r="O83" s="36"/>
    </row>
    <row r="84" spans="1:15" s="22" customFormat="1" ht="15.75" customHeight="1">
      <c r="A84" s="118"/>
      <c r="B84" s="119"/>
      <c r="C84" s="120"/>
      <c r="D84" s="120"/>
      <c r="E84" s="120"/>
      <c r="F84" s="121"/>
      <c r="G84" s="119"/>
      <c r="L84" s="36"/>
      <c r="M84" s="36"/>
      <c r="N84" s="36"/>
      <c r="O84" s="36"/>
    </row>
    <row r="85" spans="1:15" s="22" customFormat="1" ht="15.75" customHeight="1">
      <c r="A85" s="118"/>
      <c r="B85" s="119"/>
      <c r="C85" s="120"/>
      <c r="D85" s="120"/>
      <c r="E85" s="120"/>
      <c r="F85" s="121"/>
      <c r="G85" s="119"/>
      <c r="L85" s="36"/>
      <c r="M85" s="36"/>
      <c r="N85" s="36"/>
      <c r="O85" s="36"/>
    </row>
    <row r="86" spans="1:15" s="22" customFormat="1" ht="15.75" customHeight="1">
      <c r="A86" s="118"/>
      <c r="B86" s="119"/>
      <c r="C86" s="120"/>
      <c r="D86" s="120"/>
      <c r="E86" s="120"/>
      <c r="F86" s="121"/>
      <c r="G86" s="119"/>
      <c r="L86" s="36"/>
      <c r="M86" s="36"/>
      <c r="N86" s="36"/>
      <c r="O86" s="36"/>
    </row>
    <row r="87" spans="1:15" s="22" customFormat="1" ht="15.75" customHeight="1">
      <c r="A87" s="118"/>
      <c r="B87" s="119"/>
      <c r="C87" s="120"/>
      <c r="D87" s="120"/>
      <c r="E87" s="120"/>
      <c r="F87" s="121"/>
      <c r="G87" s="119"/>
      <c r="L87" s="36"/>
      <c r="M87" s="36"/>
      <c r="N87" s="36"/>
      <c r="O87" s="36"/>
    </row>
    <row r="88" spans="1:15" s="22" customFormat="1" ht="15.75" customHeight="1">
      <c r="A88" s="118"/>
      <c r="B88" s="119"/>
      <c r="C88" s="120"/>
      <c r="D88" s="120"/>
      <c r="E88" s="120"/>
      <c r="F88" s="121"/>
      <c r="G88" s="119"/>
      <c r="L88" s="36"/>
      <c r="M88" s="36"/>
      <c r="N88" s="36"/>
      <c r="O88" s="36"/>
    </row>
    <row r="89" spans="1:15" s="22" customFormat="1" ht="15.75" customHeight="1">
      <c r="A89" s="118"/>
      <c r="B89" s="119"/>
      <c r="C89" s="120"/>
      <c r="D89" s="120"/>
      <c r="E89" s="120"/>
      <c r="F89" s="121"/>
      <c r="G89" s="119"/>
      <c r="L89" s="36"/>
      <c r="M89" s="36"/>
      <c r="N89" s="36"/>
      <c r="O89" s="36"/>
    </row>
    <row r="90" spans="1:15" s="22" customFormat="1" ht="15.75" customHeight="1">
      <c r="A90" s="118"/>
      <c r="B90" s="119"/>
      <c r="C90" s="120"/>
      <c r="D90" s="120"/>
      <c r="E90" s="120"/>
      <c r="F90" s="121"/>
      <c r="G90" s="119"/>
      <c r="L90" s="36"/>
      <c r="M90" s="36"/>
      <c r="N90" s="36"/>
      <c r="O90" s="36"/>
    </row>
    <row r="91" spans="1:15" s="22" customFormat="1" ht="15.75" customHeight="1">
      <c r="A91" s="118"/>
      <c r="B91" s="119"/>
      <c r="C91" s="120"/>
      <c r="D91" s="120"/>
      <c r="E91" s="120"/>
      <c r="F91" s="121"/>
      <c r="G91" s="119"/>
      <c r="L91" s="36"/>
      <c r="M91" s="36"/>
      <c r="N91" s="36"/>
      <c r="O91" s="36"/>
    </row>
    <row r="92" spans="1:15" s="22" customFormat="1" ht="15.75" customHeight="1">
      <c r="A92" s="118"/>
      <c r="B92" s="119"/>
      <c r="C92" s="120"/>
      <c r="D92" s="120"/>
      <c r="E92" s="120"/>
      <c r="F92" s="121"/>
      <c r="G92" s="119"/>
      <c r="L92" s="36"/>
      <c r="M92" s="36"/>
      <c r="N92" s="36"/>
      <c r="O92" s="36"/>
    </row>
    <row r="93" spans="1:15" s="22" customFormat="1" ht="15.75" customHeight="1">
      <c r="A93" s="217" t="s">
        <v>33</v>
      </c>
      <c r="B93" s="217"/>
      <c r="C93" s="217"/>
      <c r="D93" s="217"/>
      <c r="E93" s="217"/>
      <c r="F93" s="217"/>
      <c r="G93" s="119"/>
      <c r="L93" s="36"/>
      <c r="M93" s="36"/>
      <c r="N93" s="36"/>
      <c r="O93" s="36"/>
    </row>
    <row r="94" spans="1:15" s="22" customFormat="1" ht="15.75" customHeight="1">
      <c r="A94" s="118"/>
      <c r="B94" s="119"/>
      <c r="C94" s="120"/>
      <c r="D94" s="120"/>
      <c r="E94" s="120"/>
      <c r="F94" s="121"/>
      <c r="G94" s="119"/>
      <c r="L94" s="36"/>
      <c r="M94" s="36"/>
      <c r="N94" s="36"/>
      <c r="O94" s="36"/>
    </row>
    <row r="95" spans="1:15" s="22" customFormat="1" ht="15.75" customHeight="1">
      <c r="A95" s="7" t="s">
        <v>21</v>
      </c>
      <c r="B95" s="7"/>
      <c r="C95" s="7"/>
      <c r="D95" s="3"/>
      <c r="E95"/>
      <c r="F95"/>
      <c r="G95"/>
      <c r="L95" s="36"/>
      <c r="M95" s="36"/>
      <c r="N95" s="36"/>
      <c r="O95" s="36"/>
    </row>
    <row r="96" spans="1:15" s="22" customFormat="1" ht="15.75" customHeight="1">
      <c r="A96" s="7" t="s">
        <v>12</v>
      </c>
      <c r="B96" s="7"/>
      <c r="C96" s="7"/>
      <c r="D96" s="3"/>
      <c r="E96"/>
      <c r="F96"/>
      <c r="G96"/>
      <c r="L96" s="36"/>
      <c r="M96" s="36"/>
      <c r="N96" s="36"/>
      <c r="O96" s="36"/>
    </row>
    <row r="97" spans="1:15" s="22" customFormat="1" ht="15.75" customHeight="1">
      <c r="A97" s="3"/>
      <c r="B97"/>
      <c r="C97"/>
      <c r="D97"/>
      <c r="E97"/>
      <c r="F97"/>
      <c r="G97"/>
      <c r="L97" s="36"/>
      <c r="M97" s="36"/>
      <c r="N97" s="36"/>
      <c r="O97" s="36"/>
    </row>
    <row r="98" spans="1:15" s="22" customFormat="1" ht="27.75" customHeight="1">
      <c r="A98" s="216" t="s">
        <v>14</v>
      </c>
      <c r="B98" s="216"/>
      <c r="C98" s="216"/>
      <c r="D98" s="216"/>
      <c r="E98" s="216"/>
      <c r="F98" s="216"/>
      <c r="G98" s="216"/>
      <c r="L98" s="36"/>
      <c r="M98" s="36"/>
      <c r="N98" s="36"/>
      <c r="O98" s="36"/>
    </row>
    <row r="99" spans="1:15" s="22" customFormat="1" ht="27" customHeight="1">
      <c r="A99" s="216" t="s">
        <v>359</v>
      </c>
      <c r="B99" s="216"/>
      <c r="C99" s="216"/>
      <c r="D99" s="216"/>
      <c r="E99" s="216"/>
      <c r="F99" s="216"/>
      <c r="G99"/>
      <c r="L99" s="36"/>
      <c r="M99" s="36"/>
      <c r="N99" s="36"/>
      <c r="O99" s="36"/>
    </row>
    <row r="100" spans="1:15" s="22" customFormat="1" ht="15.75" customHeight="1">
      <c r="A100" s="3"/>
      <c r="B100" s="7"/>
      <c r="C100" s="7"/>
      <c r="D100" s="18" t="s">
        <v>15</v>
      </c>
      <c r="E100" s="18"/>
      <c r="F100"/>
      <c r="G100"/>
      <c r="L100" s="36"/>
      <c r="M100" s="36"/>
      <c r="N100" s="36"/>
      <c r="O100" s="36"/>
    </row>
    <row r="101" spans="1:15" s="22" customFormat="1" ht="15.75" customHeight="1">
      <c r="A101" s="167"/>
      <c r="B101" s="241"/>
      <c r="C101" s="241"/>
      <c r="D101" s="241"/>
      <c r="E101" s="241"/>
      <c r="F101" s="168"/>
      <c r="G101" s="169"/>
      <c r="L101" s="36"/>
      <c r="M101" s="36"/>
      <c r="N101" s="36"/>
      <c r="O101" s="36"/>
    </row>
    <row r="102" spans="1:15" s="22" customFormat="1" ht="15.75" customHeight="1">
      <c r="A102" s="167"/>
      <c r="B102" s="167"/>
      <c r="C102" s="167"/>
      <c r="D102" s="167"/>
      <c r="E102" s="167"/>
      <c r="F102" s="167"/>
      <c r="G102" s="167"/>
      <c r="L102" s="36"/>
      <c r="M102" s="36"/>
      <c r="N102" s="36"/>
      <c r="O102" s="36"/>
    </row>
    <row r="103" spans="1:15" s="22" customFormat="1" ht="15.75" customHeight="1">
      <c r="A103" s="242" t="s">
        <v>353</v>
      </c>
      <c r="B103" s="197"/>
      <c r="C103" s="245" t="s">
        <v>321</v>
      </c>
      <c r="D103" s="246"/>
      <c r="E103" s="246"/>
      <c r="F103" s="247"/>
      <c r="G103" s="248" t="s">
        <v>322</v>
      </c>
      <c r="L103" s="36"/>
      <c r="M103" s="36"/>
      <c r="N103" s="36"/>
      <c r="O103" s="36"/>
    </row>
    <row r="104" spans="1:15" s="22" customFormat="1" ht="15.75" customHeight="1">
      <c r="A104" s="243"/>
      <c r="B104" s="198" t="s">
        <v>323</v>
      </c>
      <c r="C104" s="242" t="s">
        <v>354</v>
      </c>
      <c r="D104" s="242" t="s">
        <v>325</v>
      </c>
      <c r="E104" s="248" t="s">
        <v>27</v>
      </c>
      <c r="F104" s="248" t="s">
        <v>326</v>
      </c>
      <c r="G104" s="243"/>
      <c r="L104" s="36"/>
      <c r="M104" s="36"/>
      <c r="N104" s="36"/>
      <c r="O104" s="36"/>
    </row>
    <row r="105" spans="1:15" s="22" customFormat="1" ht="15.75" customHeight="1">
      <c r="A105" s="244"/>
      <c r="B105" s="199"/>
      <c r="C105" s="244"/>
      <c r="D105" s="249"/>
      <c r="E105" s="244"/>
      <c r="F105" s="244"/>
      <c r="G105" s="244"/>
      <c r="L105" s="36"/>
      <c r="M105" s="36"/>
      <c r="N105" s="36"/>
      <c r="O105" s="36"/>
    </row>
    <row r="106" spans="1:15" s="22" customFormat="1" ht="15.75" customHeight="1">
      <c r="A106" s="200" t="s">
        <v>328</v>
      </c>
      <c r="B106" s="117" t="s">
        <v>355</v>
      </c>
      <c r="C106" s="117">
        <v>1</v>
      </c>
      <c r="D106" s="117">
        <v>2</v>
      </c>
      <c r="E106" s="201">
        <v>3</v>
      </c>
      <c r="F106" s="117">
        <v>4</v>
      </c>
      <c r="G106" s="201" t="s">
        <v>356</v>
      </c>
      <c r="L106" s="36"/>
      <c r="M106" s="36"/>
      <c r="N106" s="36"/>
      <c r="O106" s="36"/>
    </row>
    <row r="107" spans="1:15" s="22" customFormat="1" ht="15.75" customHeight="1">
      <c r="A107" s="109">
        <v>1</v>
      </c>
      <c r="B107" s="106" t="s">
        <v>228</v>
      </c>
      <c r="C107" s="106">
        <v>9381000</v>
      </c>
      <c r="D107" s="106"/>
      <c r="E107" s="106"/>
      <c r="F107" s="106">
        <f>C107+D107-E107</f>
        <v>9381000</v>
      </c>
      <c r="G107" s="68"/>
      <c r="L107" s="36"/>
      <c r="M107" s="36"/>
      <c r="N107" s="36"/>
      <c r="O107" s="36"/>
    </row>
    <row r="108" spans="1:15" s="22" customFormat="1" ht="15.75" customHeight="1">
      <c r="A108" s="109">
        <v>2</v>
      </c>
      <c r="B108" s="106" t="s">
        <v>7</v>
      </c>
      <c r="C108" s="106">
        <v>9757000</v>
      </c>
      <c r="D108" s="202"/>
      <c r="E108" s="202"/>
      <c r="F108" s="106">
        <f aca="true" t="shared" si="1" ref="F108:F118">C108+D108-E108</f>
        <v>9757000</v>
      </c>
      <c r="G108" s="68"/>
      <c r="L108" s="36"/>
      <c r="M108" s="36"/>
      <c r="N108" s="36"/>
      <c r="O108" s="36"/>
    </row>
    <row r="109" spans="1:15" s="22" customFormat="1" ht="15.75" customHeight="1">
      <c r="A109" s="109">
        <v>3</v>
      </c>
      <c r="B109" s="106" t="s">
        <v>240</v>
      </c>
      <c r="C109" s="106">
        <v>45793322</v>
      </c>
      <c r="D109" s="203"/>
      <c r="E109" s="204"/>
      <c r="F109" s="106">
        <f t="shared" si="1"/>
        <v>45793322</v>
      </c>
      <c r="G109" s="68"/>
      <c r="L109" s="36"/>
      <c r="M109" s="36"/>
      <c r="N109" s="36"/>
      <c r="O109" s="36"/>
    </row>
    <row r="110" spans="1:15" s="22" customFormat="1" ht="15.75" customHeight="1">
      <c r="A110" s="109">
        <v>4</v>
      </c>
      <c r="B110" s="106" t="s">
        <v>202</v>
      </c>
      <c r="C110" s="106">
        <v>11217645</v>
      </c>
      <c r="D110" s="106"/>
      <c r="E110" s="106"/>
      <c r="F110" s="106">
        <f t="shared" si="1"/>
        <v>11217645</v>
      </c>
      <c r="G110" s="68"/>
      <c r="L110" s="36"/>
      <c r="M110" s="36"/>
      <c r="N110" s="36"/>
      <c r="O110" s="36"/>
    </row>
    <row r="111" spans="1:15" s="22" customFormat="1" ht="15.75" customHeight="1">
      <c r="A111" s="109">
        <v>5</v>
      </c>
      <c r="B111" s="106" t="s">
        <v>230</v>
      </c>
      <c r="C111" s="106">
        <v>0</v>
      </c>
      <c r="D111" s="106"/>
      <c r="E111" s="205"/>
      <c r="F111" s="106">
        <f t="shared" si="1"/>
        <v>0</v>
      </c>
      <c r="G111" s="68"/>
      <c r="L111" s="36"/>
      <c r="M111" s="36"/>
      <c r="N111" s="36"/>
      <c r="O111" s="36"/>
    </row>
    <row r="112" spans="1:15" s="22" customFormat="1" ht="15.75" customHeight="1">
      <c r="A112" s="109">
        <v>6</v>
      </c>
      <c r="B112" s="106" t="s">
        <v>231</v>
      </c>
      <c r="C112" s="106">
        <v>0</v>
      </c>
      <c r="D112" s="106"/>
      <c r="E112" s="106"/>
      <c r="F112" s="106">
        <f t="shared" si="1"/>
        <v>0</v>
      </c>
      <c r="G112" s="68"/>
      <c r="L112" s="36"/>
      <c r="M112" s="36"/>
      <c r="N112" s="36"/>
      <c r="O112" s="36"/>
    </row>
    <row r="113" spans="1:15" s="22" customFormat="1" ht="15.75" customHeight="1">
      <c r="A113" s="109">
        <v>7</v>
      </c>
      <c r="B113" s="106" t="s">
        <v>232</v>
      </c>
      <c r="C113" s="106">
        <v>0</v>
      </c>
      <c r="D113" s="106"/>
      <c r="E113" s="106"/>
      <c r="F113" s="106">
        <f t="shared" si="1"/>
        <v>0</v>
      </c>
      <c r="G113" s="68"/>
      <c r="L113" s="36"/>
      <c r="M113" s="36"/>
      <c r="N113" s="36"/>
      <c r="O113" s="36"/>
    </row>
    <row r="114" spans="1:15" s="22" customFormat="1" ht="15.75" customHeight="1">
      <c r="A114" s="109">
        <v>8</v>
      </c>
      <c r="B114" s="114" t="s">
        <v>241</v>
      </c>
      <c r="C114" s="106">
        <v>0</v>
      </c>
      <c r="D114" s="205"/>
      <c r="E114" s="106"/>
      <c r="F114" s="106">
        <f t="shared" si="1"/>
        <v>0</v>
      </c>
      <c r="G114" s="206"/>
      <c r="L114" s="36"/>
      <c r="M114" s="36"/>
      <c r="N114" s="36"/>
      <c r="O114" s="36"/>
    </row>
    <row r="115" spans="1:15" s="22" customFormat="1" ht="15.75" customHeight="1">
      <c r="A115" s="109">
        <v>9</v>
      </c>
      <c r="B115" s="106" t="s">
        <v>242</v>
      </c>
      <c r="C115" s="106">
        <v>219000</v>
      </c>
      <c r="D115" s="205"/>
      <c r="E115" s="106"/>
      <c r="F115" s="106">
        <f t="shared" si="1"/>
        <v>219000</v>
      </c>
      <c r="G115" s="68"/>
      <c r="L115" s="36"/>
      <c r="M115" s="36"/>
      <c r="N115" s="36"/>
      <c r="O115" s="36"/>
    </row>
    <row r="116" spans="1:15" s="22" customFormat="1" ht="15.75" customHeight="1">
      <c r="A116" s="109">
        <v>10</v>
      </c>
      <c r="B116" s="106" t="s">
        <v>243</v>
      </c>
      <c r="C116" s="106">
        <v>13025000</v>
      </c>
      <c r="D116" s="106"/>
      <c r="E116" s="205"/>
      <c r="F116" s="106">
        <f t="shared" si="1"/>
        <v>13025000</v>
      </c>
      <c r="G116" s="68"/>
      <c r="L116" s="36"/>
      <c r="M116" s="36"/>
      <c r="N116" s="36"/>
      <c r="O116" s="36"/>
    </row>
    <row r="117" spans="1:15" s="22" customFormat="1" ht="15.75" customHeight="1">
      <c r="A117" s="109">
        <v>11</v>
      </c>
      <c r="B117" s="106" t="s">
        <v>244</v>
      </c>
      <c r="C117" s="106">
        <v>170000</v>
      </c>
      <c r="D117" s="106"/>
      <c r="E117" s="202"/>
      <c r="F117" s="106">
        <f t="shared" si="1"/>
        <v>170000</v>
      </c>
      <c r="G117" s="68"/>
      <c r="L117" s="36"/>
      <c r="M117" s="36"/>
      <c r="N117" s="36"/>
      <c r="O117" s="36"/>
    </row>
    <row r="118" spans="1:15" s="22" customFormat="1" ht="15.75" customHeight="1">
      <c r="A118" s="109">
        <v>12</v>
      </c>
      <c r="B118" s="106" t="s">
        <v>245</v>
      </c>
      <c r="C118" s="106">
        <v>82679000</v>
      </c>
      <c r="D118" s="207"/>
      <c r="E118" s="208"/>
      <c r="F118" s="106">
        <f t="shared" si="1"/>
        <v>82679000</v>
      </c>
      <c r="G118" s="68"/>
      <c r="L118" s="36"/>
      <c r="M118" s="36"/>
      <c r="N118" s="36"/>
      <c r="O118" s="36"/>
    </row>
    <row r="119" spans="1:15" s="22" customFormat="1" ht="15.75" customHeight="1">
      <c r="A119" s="116"/>
      <c r="B119" s="117" t="s">
        <v>246</v>
      </c>
      <c r="C119" s="106">
        <f>SUM(C107:C118)</f>
        <v>172241967</v>
      </c>
      <c r="D119" s="106">
        <f>SUM(D107:D118)</f>
        <v>0</v>
      </c>
      <c r="E119" s="106">
        <f>SUM(E107:E118)</f>
        <v>0</v>
      </c>
      <c r="F119" s="106">
        <f>SUM(F107:F118)</f>
        <v>172241967</v>
      </c>
      <c r="G119" s="68"/>
      <c r="L119" s="36"/>
      <c r="M119" s="36"/>
      <c r="N119" s="36"/>
      <c r="O119" s="36"/>
    </row>
    <row r="120" spans="1:15" s="22" customFormat="1" ht="15.75" customHeight="1">
      <c r="A120" s="209"/>
      <c r="B120" s="210"/>
      <c r="C120" s="211"/>
      <c r="D120" s="211"/>
      <c r="E120" s="211"/>
      <c r="F120" s="212"/>
      <c r="G120" s="211"/>
      <c r="L120" s="36"/>
      <c r="M120" s="36"/>
      <c r="N120" s="36"/>
      <c r="O120" s="36"/>
    </row>
    <row r="121" spans="1:15" s="22" customFormat="1" ht="15.75" customHeight="1">
      <c r="A121" s="167"/>
      <c r="B121" s="167"/>
      <c r="C121" s="240" t="s">
        <v>357</v>
      </c>
      <c r="D121" s="240"/>
      <c r="E121" s="240"/>
      <c r="F121" s="240"/>
      <c r="G121" s="240"/>
      <c r="L121" s="36"/>
      <c r="M121" s="36"/>
      <c r="N121" s="36"/>
      <c r="O121" s="36"/>
    </row>
    <row r="122" spans="1:15" s="22" customFormat="1" ht="15.75" customHeight="1">
      <c r="A122" s="166"/>
      <c r="B122" s="195" t="s">
        <v>347</v>
      </c>
      <c r="C122" s="222" t="s">
        <v>348</v>
      </c>
      <c r="D122" s="222"/>
      <c r="E122" s="222" t="s">
        <v>349</v>
      </c>
      <c r="F122" s="222"/>
      <c r="G122" s="166"/>
      <c r="L122" s="36"/>
      <c r="M122" s="36"/>
      <c r="N122" s="36"/>
      <c r="O122" s="36"/>
    </row>
    <row r="123" spans="1:15" s="22" customFormat="1" ht="15.75" customHeight="1">
      <c r="A123" s="167"/>
      <c r="B123" s="167"/>
      <c r="C123" s="167"/>
      <c r="D123" s="167"/>
      <c r="E123" s="167"/>
      <c r="F123" s="167"/>
      <c r="G123" s="167"/>
      <c r="L123" s="36"/>
      <c r="M123" s="36"/>
      <c r="N123" s="36"/>
      <c r="O123" s="36"/>
    </row>
    <row r="124" spans="1:15" s="22" customFormat="1" ht="15.75" customHeight="1">
      <c r="A124"/>
      <c r="B124"/>
      <c r="C124"/>
      <c r="D124"/>
      <c r="E124"/>
      <c r="F124"/>
      <c r="G124"/>
      <c r="L124" s="36"/>
      <c r="M124" s="36"/>
      <c r="N124" s="36"/>
      <c r="O124" s="36"/>
    </row>
    <row r="125" spans="1:15" s="22" customFormat="1" ht="15.75" customHeight="1">
      <c r="A125"/>
      <c r="B125"/>
      <c r="C125"/>
      <c r="D125"/>
      <c r="E125"/>
      <c r="F125"/>
      <c r="G125"/>
      <c r="L125" s="36"/>
      <c r="M125" s="36"/>
      <c r="N125" s="36"/>
      <c r="O125" s="36"/>
    </row>
    <row r="126" spans="1:15" s="22" customFormat="1" ht="15.75" customHeight="1">
      <c r="A126"/>
      <c r="B126"/>
      <c r="C126"/>
      <c r="D126"/>
      <c r="E126"/>
      <c r="F126"/>
      <c r="G126"/>
      <c r="L126" s="36"/>
      <c r="M126" s="36"/>
      <c r="N126" s="36"/>
      <c r="O126" s="36"/>
    </row>
    <row r="127" spans="1:15" s="22" customFormat="1" ht="15.75" customHeight="1">
      <c r="A127"/>
      <c r="B127"/>
      <c r="C127"/>
      <c r="D127"/>
      <c r="E127"/>
      <c r="F127"/>
      <c r="G127"/>
      <c r="L127" s="36"/>
      <c r="M127" s="36"/>
      <c r="N127" s="36"/>
      <c r="O127" s="36"/>
    </row>
    <row r="128" spans="1:15" s="22" customFormat="1" ht="15.75" customHeight="1">
      <c r="A128"/>
      <c r="B128"/>
      <c r="C128"/>
      <c r="D128"/>
      <c r="E128"/>
      <c r="F128"/>
      <c r="G128"/>
      <c r="L128" s="36"/>
      <c r="M128" s="36"/>
      <c r="N128" s="36"/>
      <c r="O128" s="36"/>
    </row>
    <row r="129" spans="1:15" s="22" customFormat="1" ht="15.75" customHeight="1">
      <c r="A129" s="196"/>
      <c r="B129" s="196" t="s">
        <v>350</v>
      </c>
      <c r="C129" s="223" t="s">
        <v>351</v>
      </c>
      <c r="D129" s="223"/>
      <c r="E129" s="223" t="s">
        <v>352</v>
      </c>
      <c r="F129" s="223"/>
      <c r="G129" s="25"/>
      <c r="L129" s="36"/>
      <c r="M129" s="36"/>
      <c r="N129" s="36"/>
      <c r="O129" s="36"/>
    </row>
    <row r="130" spans="1:15" s="22" customFormat="1" ht="15.75" customHeight="1">
      <c r="A130" s="196"/>
      <c r="B130" s="196"/>
      <c r="C130" s="196"/>
      <c r="D130" s="196"/>
      <c r="E130" s="196"/>
      <c r="F130" s="196"/>
      <c r="G130" s="25"/>
      <c r="L130" s="36"/>
      <c r="M130" s="36"/>
      <c r="N130" s="36"/>
      <c r="O130" s="36"/>
    </row>
    <row r="131" spans="1:15" s="22" customFormat="1" ht="15.75" customHeight="1">
      <c r="A131" s="196"/>
      <c r="B131" s="196"/>
      <c r="C131" s="196"/>
      <c r="D131" s="196"/>
      <c r="E131" s="196"/>
      <c r="F131" s="196"/>
      <c r="G131" s="25"/>
      <c r="L131" s="36"/>
      <c r="M131" s="36"/>
      <c r="N131" s="36"/>
      <c r="O131" s="36"/>
    </row>
    <row r="132" spans="1:15" s="22" customFormat="1" ht="15.75" customHeight="1">
      <c r="A132" s="196"/>
      <c r="B132" s="196"/>
      <c r="C132" s="196"/>
      <c r="D132" s="196"/>
      <c r="E132" s="196"/>
      <c r="F132" s="196"/>
      <c r="G132" s="25"/>
      <c r="L132" s="36"/>
      <c r="M132" s="36"/>
      <c r="N132" s="36"/>
      <c r="O132" s="36"/>
    </row>
    <row r="133" spans="1:15" s="22" customFormat="1" ht="15.75" customHeight="1">
      <c r="A133" s="196"/>
      <c r="B133" s="196"/>
      <c r="C133" s="196"/>
      <c r="D133" s="196"/>
      <c r="E133" s="196"/>
      <c r="F133" s="196"/>
      <c r="G133" s="25"/>
      <c r="L133" s="36"/>
      <c r="M133" s="36"/>
      <c r="N133" s="36"/>
      <c r="O133" s="36"/>
    </row>
    <row r="134" spans="1:15" s="22" customFormat="1" ht="15.75" customHeight="1">
      <c r="A134" s="196"/>
      <c r="B134" s="196"/>
      <c r="C134" s="196"/>
      <c r="D134" s="196"/>
      <c r="E134" s="196"/>
      <c r="F134" s="196"/>
      <c r="G134" s="25"/>
      <c r="L134" s="36"/>
      <c r="M134" s="36"/>
      <c r="N134" s="36"/>
      <c r="O134" s="36"/>
    </row>
    <row r="135" spans="1:15" s="22" customFormat="1" ht="15.75" customHeight="1">
      <c r="A135" s="196"/>
      <c r="B135" s="196"/>
      <c r="C135" s="196"/>
      <c r="D135" s="196"/>
      <c r="E135" s="196"/>
      <c r="F135" s="196"/>
      <c r="G135" s="25"/>
      <c r="L135" s="36"/>
      <c r="M135" s="36"/>
      <c r="N135" s="36"/>
      <c r="O135" s="36"/>
    </row>
    <row r="136" spans="1:15" s="22" customFormat="1" ht="15.75" customHeight="1">
      <c r="A136" s="196"/>
      <c r="B136" s="196"/>
      <c r="C136" s="196"/>
      <c r="D136" s="196"/>
      <c r="E136" s="196"/>
      <c r="F136" s="196"/>
      <c r="G136" s="25"/>
      <c r="L136" s="36"/>
      <c r="M136" s="36"/>
      <c r="N136" s="36"/>
      <c r="O136" s="36"/>
    </row>
    <row r="137" spans="1:15" s="22" customFormat="1" ht="15.75" customHeight="1">
      <c r="A137" s="196"/>
      <c r="B137" s="196"/>
      <c r="C137" s="196"/>
      <c r="D137" s="196"/>
      <c r="E137" s="196"/>
      <c r="F137" s="196"/>
      <c r="G137" s="25"/>
      <c r="L137" s="36"/>
      <c r="M137" s="36"/>
      <c r="N137" s="36"/>
      <c r="O137" s="36"/>
    </row>
    <row r="138" spans="1:15" s="22" customFormat="1" ht="15.75" customHeight="1">
      <c r="A138" s="196"/>
      <c r="B138" s="196"/>
      <c r="C138" s="196"/>
      <c r="D138" s="196"/>
      <c r="E138" s="196"/>
      <c r="F138" s="196"/>
      <c r="G138" s="25"/>
      <c r="L138" s="36"/>
      <c r="M138" s="36"/>
      <c r="N138" s="36"/>
      <c r="O138" s="36"/>
    </row>
    <row r="139" spans="1:15" s="22" customFormat="1" ht="15.75" customHeight="1">
      <c r="A139" s="118"/>
      <c r="B139" s="119"/>
      <c r="C139" s="120"/>
      <c r="D139" s="120"/>
      <c r="E139" s="120"/>
      <c r="F139" s="121"/>
      <c r="G139" s="119"/>
      <c r="L139" s="36"/>
      <c r="M139" s="36"/>
      <c r="N139" s="36"/>
      <c r="O139" s="36"/>
    </row>
    <row r="140" spans="1:6" ht="12.75">
      <c r="A140" s="33" t="s">
        <v>33</v>
      </c>
      <c r="B140" s="33"/>
      <c r="C140" s="33"/>
      <c r="D140" s="33"/>
      <c r="E140" s="33"/>
      <c r="F140" s="33"/>
    </row>
    <row r="143" spans="1:4" ht="15.75">
      <c r="A143" s="7" t="s">
        <v>21</v>
      </c>
      <c r="B143" s="7"/>
      <c r="C143" s="7"/>
      <c r="D143" s="3"/>
    </row>
    <row r="144" spans="1:4" ht="15.75">
      <c r="A144" s="7" t="s">
        <v>12</v>
      </c>
      <c r="B144" s="7"/>
      <c r="C144" s="7"/>
      <c r="D144" s="3"/>
    </row>
    <row r="145" ht="12.75">
      <c r="A145" s="3"/>
    </row>
    <row r="146" spans="1:7" ht="18">
      <c r="A146" s="216" t="s">
        <v>14</v>
      </c>
      <c r="B146" s="216"/>
      <c r="C146" s="216"/>
      <c r="D146" s="216"/>
      <c r="E146" s="216"/>
      <c r="F146" s="216"/>
      <c r="G146" s="216"/>
    </row>
    <row r="147" spans="1:6" ht="18">
      <c r="A147" s="216" t="s">
        <v>360</v>
      </c>
      <c r="B147" s="216"/>
      <c r="C147" s="216"/>
      <c r="D147" s="216"/>
      <c r="E147" s="216"/>
      <c r="F147" s="216"/>
    </row>
    <row r="148" spans="1:5" ht="15.75">
      <c r="A148" s="3"/>
      <c r="B148" s="7"/>
      <c r="C148" s="7"/>
      <c r="D148" s="18" t="s">
        <v>15</v>
      </c>
      <c r="E148" s="18"/>
    </row>
    <row r="149" spans="1:7" ht="15.75">
      <c r="A149" s="167"/>
      <c r="B149" s="167"/>
      <c r="C149" s="167"/>
      <c r="D149" s="167"/>
      <c r="E149" s="167"/>
      <c r="F149" s="167"/>
      <c r="G149" s="167"/>
    </row>
    <row r="150" spans="1:7" ht="15.75">
      <c r="A150" s="242" t="s">
        <v>353</v>
      </c>
      <c r="B150" s="197"/>
      <c r="C150" s="245" t="s">
        <v>321</v>
      </c>
      <c r="D150" s="246"/>
      <c r="E150" s="246"/>
      <c r="F150" s="247"/>
      <c r="G150" s="248" t="s">
        <v>322</v>
      </c>
    </row>
    <row r="151" spans="1:7" ht="15.75">
      <c r="A151" s="243"/>
      <c r="B151" s="198" t="s">
        <v>323</v>
      </c>
      <c r="C151" s="242" t="s">
        <v>354</v>
      </c>
      <c r="D151" s="242" t="s">
        <v>325</v>
      </c>
      <c r="E151" s="248" t="s">
        <v>27</v>
      </c>
      <c r="F151" s="248" t="s">
        <v>326</v>
      </c>
      <c r="G151" s="243"/>
    </row>
    <row r="152" spans="1:7" ht="15.75">
      <c r="A152" s="244"/>
      <c r="B152" s="199"/>
      <c r="C152" s="244"/>
      <c r="D152" s="249"/>
      <c r="E152" s="244"/>
      <c r="F152" s="244"/>
      <c r="G152" s="244"/>
    </row>
    <row r="153" spans="1:7" ht="15.75">
      <c r="A153" s="200" t="s">
        <v>328</v>
      </c>
      <c r="B153" s="117" t="s">
        <v>355</v>
      </c>
      <c r="C153" s="117">
        <v>1</v>
      </c>
      <c r="D153" s="117">
        <v>2</v>
      </c>
      <c r="E153" s="201">
        <v>3</v>
      </c>
      <c r="F153" s="117">
        <v>4</v>
      </c>
      <c r="G153" s="201" t="s">
        <v>356</v>
      </c>
    </row>
    <row r="154" spans="1:7" ht="15">
      <c r="A154" s="109">
        <v>1</v>
      </c>
      <c r="B154" s="106" t="s">
        <v>228</v>
      </c>
      <c r="C154" s="106">
        <v>9381000</v>
      </c>
      <c r="D154" s="106"/>
      <c r="E154" s="106"/>
      <c r="F154" s="106">
        <f>C154+D154-E154</f>
        <v>9381000</v>
      </c>
      <c r="G154" s="68"/>
    </row>
    <row r="155" spans="1:7" ht="15">
      <c r="A155" s="109">
        <v>2</v>
      </c>
      <c r="B155" s="106" t="s">
        <v>7</v>
      </c>
      <c r="C155" s="106">
        <v>9757000</v>
      </c>
      <c r="D155" s="202"/>
      <c r="E155" s="202">
        <v>900000</v>
      </c>
      <c r="F155" s="106">
        <f aca="true" t="shared" si="2" ref="F155:F165">C155+D155-E155</f>
        <v>8857000</v>
      </c>
      <c r="G155" s="68"/>
    </row>
    <row r="156" spans="1:7" ht="15">
      <c r="A156" s="109">
        <v>3</v>
      </c>
      <c r="B156" s="106" t="s">
        <v>240</v>
      </c>
      <c r="C156" s="106">
        <v>45793322</v>
      </c>
      <c r="D156" s="203"/>
      <c r="E156" s="204"/>
      <c r="F156" s="106">
        <f t="shared" si="2"/>
        <v>45793322</v>
      </c>
      <c r="G156" s="68"/>
    </row>
    <row r="157" spans="1:7" ht="15">
      <c r="A157" s="109">
        <v>4</v>
      </c>
      <c r="B157" s="106" t="s">
        <v>202</v>
      </c>
      <c r="C157" s="106">
        <v>11217645</v>
      </c>
      <c r="D157" s="106"/>
      <c r="E157" s="106"/>
      <c r="F157" s="106">
        <f t="shared" si="2"/>
        <v>11217645</v>
      </c>
      <c r="G157" s="68"/>
    </row>
    <row r="158" spans="1:7" ht="15">
      <c r="A158" s="109">
        <v>5</v>
      </c>
      <c r="B158" s="106" t="s">
        <v>230</v>
      </c>
      <c r="C158" s="106">
        <v>0</v>
      </c>
      <c r="D158" s="106"/>
      <c r="E158" s="205"/>
      <c r="F158" s="106">
        <f t="shared" si="2"/>
        <v>0</v>
      </c>
      <c r="G158" s="68"/>
    </row>
    <row r="159" spans="1:7" ht="15">
      <c r="A159" s="109">
        <v>6</v>
      </c>
      <c r="B159" s="106" t="s">
        <v>231</v>
      </c>
      <c r="C159" s="106">
        <v>0</v>
      </c>
      <c r="D159" s="106"/>
      <c r="E159" s="106"/>
      <c r="F159" s="106">
        <f t="shared" si="2"/>
        <v>0</v>
      </c>
      <c r="G159" s="68"/>
    </row>
    <row r="160" spans="1:7" ht="15">
      <c r="A160" s="109">
        <v>7</v>
      </c>
      <c r="B160" s="106" t="s">
        <v>232</v>
      </c>
      <c r="C160" s="106">
        <v>0</v>
      </c>
      <c r="D160" s="106"/>
      <c r="E160" s="106"/>
      <c r="F160" s="106">
        <f t="shared" si="2"/>
        <v>0</v>
      </c>
      <c r="G160" s="68"/>
    </row>
    <row r="161" spans="1:7" ht="15">
      <c r="A161" s="109">
        <v>8</v>
      </c>
      <c r="B161" s="114" t="s">
        <v>241</v>
      </c>
      <c r="C161" s="106">
        <v>0</v>
      </c>
      <c r="D161" s="205"/>
      <c r="E161" s="106"/>
      <c r="F161" s="106">
        <f t="shared" si="2"/>
        <v>0</v>
      </c>
      <c r="G161" s="206"/>
    </row>
    <row r="162" spans="1:7" ht="15">
      <c r="A162" s="109">
        <v>9</v>
      </c>
      <c r="B162" s="106" t="s">
        <v>242</v>
      </c>
      <c r="C162" s="106">
        <v>219000</v>
      </c>
      <c r="D162" s="205">
        <v>117898000</v>
      </c>
      <c r="E162" s="106">
        <v>117500000</v>
      </c>
      <c r="F162" s="106">
        <f t="shared" si="2"/>
        <v>617000</v>
      </c>
      <c r="G162" s="68"/>
    </row>
    <row r="163" spans="1:7" ht="15">
      <c r="A163" s="109">
        <v>10</v>
      </c>
      <c r="B163" s="106" t="s">
        <v>243</v>
      </c>
      <c r="C163" s="106">
        <v>13025000</v>
      </c>
      <c r="D163" s="106">
        <v>128715000</v>
      </c>
      <c r="E163" s="205">
        <v>128859500</v>
      </c>
      <c r="F163" s="106">
        <f t="shared" si="2"/>
        <v>12880500</v>
      </c>
      <c r="G163" s="68"/>
    </row>
    <row r="164" spans="1:7" ht="15">
      <c r="A164" s="109">
        <v>11</v>
      </c>
      <c r="B164" s="106" t="s">
        <v>244</v>
      </c>
      <c r="C164" s="106">
        <v>170000</v>
      </c>
      <c r="D164" s="106">
        <v>16840000</v>
      </c>
      <c r="E164" s="202">
        <v>17000000</v>
      </c>
      <c r="F164" s="106">
        <f t="shared" si="2"/>
        <v>10000</v>
      </c>
      <c r="G164" s="68"/>
    </row>
    <row r="165" spans="1:7" ht="15">
      <c r="A165" s="109">
        <v>12</v>
      </c>
      <c r="B165" s="106" t="s">
        <v>245</v>
      </c>
      <c r="C165" s="106">
        <v>82679000</v>
      </c>
      <c r="D165" s="207"/>
      <c r="E165" s="208"/>
      <c r="F165" s="106">
        <f t="shared" si="2"/>
        <v>82679000</v>
      </c>
      <c r="G165" s="68"/>
    </row>
    <row r="166" spans="1:7" ht="15.75">
      <c r="A166" s="116"/>
      <c r="B166" s="117" t="s">
        <v>246</v>
      </c>
      <c r="C166" s="106">
        <f>SUM(C154:C165)</f>
        <v>172241967</v>
      </c>
      <c r="D166" s="106">
        <f>SUM(D154:D165)</f>
        <v>263453000</v>
      </c>
      <c r="E166" s="106">
        <f>SUM(E154:E165)</f>
        <v>264259500</v>
      </c>
      <c r="F166" s="106">
        <f>SUM(F154:F165)</f>
        <v>171435467</v>
      </c>
      <c r="G166" s="68"/>
    </row>
    <row r="167" spans="1:7" ht="15.75">
      <c r="A167" s="209"/>
      <c r="B167" s="210"/>
      <c r="C167" s="211"/>
      <c r="D167" s="211"/>
      <c r="E167" s="211"/>
      <c r="F167" s="212"/>
      <c r="G167" s="211"/>
    </row>
    <row r="168" spans="1:7" ht="15.75">
      <c r="A168" s="167"/>
      <c r="B168" s="167"/>
      <c r="C168" s="240" t="s">
        <v>358</v>
      </c>
      <c r="D168" s="240"/>
      <c r="E168" s="240"/>
      <c r="F168" s="240"/>
      <c r="G168" s="240"/>
    </row>
    <row r="169" spans="1:7" ht="18.75">
      <c r="A169" s="166"/>
      <c r="B169" s="195" t="s">
        <v>347</v>
      </c>
      <c r="C169" s="222" t="s">
        <v>348</v>
      </c>
      <c r="D169" s="222"/>
      <c r="E169" s="222" t="s">
        <v>349</v>
      </c>
      <c r="F169" s="222"/>
      <c r="G169" s="166"/>
    </row>
    <row r="170" spans="1:7" ht="15.75">
      <c r="A170" s="167"/>
      <c r="B170" s="167"/>
      <c r="C170" s="167"/>
      <c r="D170" s="167"/>
      <c r="E170" s="167"/>
      <c r="F170" s="167"/>
      <c r="G170" s="167"/>
    </row>
    <row r="176" spans="1:7" ht="15">
      <c r="A176" s="196"/>
      <c r="B176" s="196" t="s">
        <v>350</v>
      </c>
      <c r="C176" s="223" t="s">
        <v>351</v>
      </c>
      <c r="D176" s="223"/>
      <c r="E176" s="223" t="s">
        <v>352</v>
      </c>
      <c r="F176" s="223"/>
      <c r="G176" s="25"/>
    </row>
    <row r="263" ht="16.5" customHeight="1"/>
    <row r="273" spans="2:7" ht="12.75">
      <c r="B273" s="217" t="s">
        <v>33</v>
      </c>
      <c r="C273" s="217"/>
      <c r="D273" s="217"/>
      <c r="E273" s="217"/>
      <c r="F273" s="217"/>
      <c r="G273" s="217"/>
    </row>
    <row r="274" ht="12.75">
      <c r="B274" s="3"/>
    </row>
    <row r="275" spans="1:4" ht="15.75">
      <c r="A275" s="7" t="s">
        <v>21</v>
      </c>
      <c r="B275" s="7"/>
      <c r="C275" s="7"/>
      <c r="D275" s="3"/>
    </row>
    <row r="276" spans="1:4" ht="15.75">
      <c r="A276" s="7" t="s">
        <v>12</v>
      </c>
      <c r="B276" s="7"/>
      <c r="C276" s="7"/>
      <c r="D276" s="3"/>
    </row>
    <row r="277" ht="12.75">
      <c r="A277" s="3"/>
    </row>
    <row r="278" spans="1:7" ht="18">
      <c r="A278" s="216" t="s">
        <v>14</v>
      </c>
      <c r="B278" s="216"/>
      <c r="C278" s="216"/>
      <c r="D278" s="216"/>
      <c r="E278" s="216"/>
      <c r="F278" s="216"/>
      <c r="G278" s="216"/>
    </row>
    <row r="279" spans="1:6" ht="18">
      <c r="A279" s="216" t="s">
        <v>239</v>
      </c>
      <c r="B279" s="216"/>
      <c r="C279" s="216"/>
      <c r="D279" s="216"/>
      <c r="E279" s="216"/>
      <c r="F279" s="216"/>
    </row>
    <row r="280" spans="1:5" ht="15.75">
      <c r="A280" s="3"/>
      <c r="B280" s="7"/>
      <c r="C280" s="7"/>
      <c r="D280" s="18" t="s">
        <v>15</v>
      </c>
      <c r="E280" s="18"/>
    </row>
    <row r="281" spans="1:7" ht="12.75">
      <c r="A281" s="224" t="s">
        <v>0</v>
      </c>
      <c r="B281" s="226" t="s">
        <v>8</v>
      </c>
      <c r="C281" s="220" t="s">
        <v>26</v>
      </c>
      <c r="D281" s="220" t="s">
        <v>25</v>
      </c>
      <c r="E281" s="218" t="s">
        <v>27</v>
      </c>
      <c r="F281" s="218" t="s">
        <v>28</v>
      </c>
      <c r="G281" s="219" t="s">
        <v>29</v>
      </c>
    </row>
    <row r="282" spans="1:7" ht="12.75">
      <c r="A282" s="225"/>
      <c r="B282" s="227"/>
      <c r="C282" s="221"/>
      <c r="D282" s="221"/>
      <c r="E282" s="218"/>
      <c r="F282" s="218"/>
      <c r="G282" s="219"/>
    </row>
    <row r="283" spans="1:7" ht="15.75">
      <c r="A283" s="24"/>
      <c r="B283" s="2"/>
      <c r="C283" s="35"/>
      <c r="D283" s="35"/>
      <c r="E283" s="21"/>
      <c r="F283" s="21"/>
      <c r="G283" s="21"/>
    </row>
    <row r="284" spans="1:7" ht="21.75" customHeight="1">
      <c r="A284" s="109">
        <v>1</v>
      </c>
      <c r="B284" s="106" t="s">
        <v>228</v>
      </c>
      <c r="C284" s="110">
        <v>9381000</v>
      </c>
      <c r="D284" s="110"/>
      <c r="E284" s="110"/>
      <c r="F284" s="110">
        <f>C284+D284-E284</f>
        <v>9381000</v>
      </c>
      <c r="G284" s="21"/>
    </row>
    <row r="285" spans="1:7" ht="21.75" customHeight="1">
      <c r="A285" s="109">
        <v>2</v>
      </c>
      <c r="B285" s="106" t="s">
        <v>7</v>
      </c>
      <c r="C285" s="110">
        <v>29297000</v>
      </c>
      <c r="D285" s="111"/>
      <c r="E285" s="111">
        <f>17040000+200000</f>
        <v>17240000</v>
      </c>
      <c r="F285" s="110">
        <f aca="true" t="shared" si="3" ref="F285:F295">C285+D285-E285</f>
        <v>12057000</v>
      </c>
      <c r="G285" s="21"/>
    </row>
    <row r="286" spans="1:7" ht="21.75" customHeight="1">
      <c r="A286" s="109">
        <v>3</v>
      </c>
      <c r="B286" s="106" t="s">
        <v>240</v>
      </c>
      <c r="C286" s="110">
        <v>12018484</v>
      </c>
      <c r="D286" s="112">
        <v>15257229</v>
      </c>
      <c r="E286" s="112"/>
      <c r="F286" s="110">
        <f t="shared" si="3"/>
        <v>27275713</v>
      </c>
      <c r="G286" s="21"/>
    </row>
    <row r="287" spans="1:7" ht="21.75" customHeight="1">
      <c r="A287" s="109">
        <v>4</v>
      </c>
      <c r="B287" s="106" t="s">
        <v>202</v>
      </c>
      <c r="C287" s="110">
        <v>932082345</v>
      </c>
      <c r="D287" s="110"/>
      <c r="E287" s="110"/>
      <c r="F287" s="110">
        <f t="shared" si="3"/>
        <v>932082345</v>
      </c>
      <c r="G287" s="21"/>
    </row>
    <row r="288" spans="1:7" ht="21.75" customHeight="1">
      <c r="A288" s="109">
        <v>5</v>
      </c>
      <c r="B288" s="106" t="s">
        <v>230</v>
      </c>
      <c r="C288" s="110">
        <v>299340000</v>
      </c>
      <c r="D288" s="110">
        <v>61878000</v>
      </c>
      <c r="E288" s="113">
        <v>361218000</v>
      </c>
      <c r="F288" s="110">
        <f t="shared" si="3"/>
        <v>0</v>
      </c>
      <c r="G288" s="21"/>
    </row>
    <row r="289" spans="1:7" ht="21.75" customHeight="1">
      <c r="A289" s="109">
        <v>6</v>
      </c>
      <c r="B289" s="106" t="s">
        <v>231</v>
      </c>
      <c r="C289" s="110">
        <v>27296000</v>
      </c>
      <c r="D289" s="110"/>
      <c r="E289" s="110"/>
      <c r="F289" s="110">
        <f t="shared" si="3"/>
        <v>27296000</v>
      </c>
      <c r="G289" s="21"/>
    </row>
    <row r="290" spans="1:7" ht="21.75" customHeight="1">
      <c r="A290" s="109">
        <v>7</v>
      </c>
      <c r="B290" s="106" t="s">
        <v>232</v>
      </c>
      <c r="C290" s="110">
        <v>112596000</v>
      </c>
      <c r="D290" s="110"/>
      <c r="E290" s="110">
        <v>71652000</v>
      </c>
      <c r="F290" s="110">
        <f t="shared" si="3"/>
        <v>40944000</v>
      </c>
      <c r="G290" s="21"/>
    </row>
    <row r="291" spans="1:7" ht="21.75" customHeight="1">
      <c r="A291" s="109">
        <v>8</v>
      </c>
      <c r="B291" s="114" t="s">
        <v>241</v>
      </c>
      <c r="C291" s="110"/>
      <c r="D291" s="110">
        <v>1018723000</v>
      </c>
      <c r="E291" s="110">
        <v>1018723000</v>
      </c>
      <c r="F291" s="110">
        <f t="shared" si="3"/>
        <v>0</v>
      </c>
      <c r="G291" s="21"/>
    </row>
    <row r="292" spans="1:7" ht="21.75" customHeight="1">
      <c r="A292" s="109">
        <v>9</v>
      </c>
      <c r="B292" s="106" t="s">
        <v>242</v>
      </c>
      <c r="C292" s="110">
        <v>55000</v>
      </c>
      <c r="D292" s="113">
        <v>118860000</v>
      </c>
      <c r="E292" s="110">
        <v>118900000</v>
      </c>
      <c r="F292" s="110">
        <f t="shared" si="3"/>
        <v>15000</v>
      </c>
      <c r="G292" s="21"/>
    </row>
    <row r="293" spans="1:7" ht="21.75" customHeight="1">
      <c r="A293" s="109">
        <v>10</v>
      </c>
      <c r="B293" s="106" t="s">
        <v>243</v>
      </c>
      <c r="C293" s="110">
        <v>53064000</v>
      </c>
      <c r="D293" s="110">
        <v>167800000</v>
      </c>
      <c r="E293" s="113">
        <v>207626000</v>
      </c>
      <c r="F293" s="110">
        <f t="shared" si="3"/>
        <v>13238000</v>
      </c>
      <c r="G293" s="21"/>
    </row>
    <row r="294" spans="1:7" ht="21.75" customHeight="1">
      <c r="A294" s="109">
        <v>11</v>
      </c>
      <c r="B294" s="106" t="s">
        <v>244</v>
      </c>
      <c r="C294" s="110">
        <v>50000</v>
      </c>
      <c r="D294" s="110">
        <v>17030000</v>
      </c>
      <c r="E294" s="110">
        <v>17000000</v>
      </c>
      <c r="F294" s="110">
        <f t="shared" si="3"/>
        <v>80000</v>
      </c>
      <c r="G294" s="21"/>
    </row>
    <row r="295" spans="1:7" ht="21.75" customHeight="1">
      <c r="A295" s="109">
        <v>12</v>
      </c>
      <c r="B295" s="106" t="s">
        <v>245</v>
      </c>
      <c r="C295" s="110">
        <v>147440000</v>
      </c>
      <c r="D295" s="110"/>
      <c r="E295" s="115">
        <v>48561000</v>
      </c>
      <c r="F295" s="110">
        <f t="shared" si="3"/>
        <v>98879000</v>
      </c>
      <c r="G295" s="21"/>
    </row>
    <row r="296" spans="1:7" ht="21.75" customHeight="1">
      <c r="A296" s="116"/>
      <c r="B296" s="117" t="s">
        <v>246</v>
      </c>
      <c r="C296" s="110">
        <f>SUM(C284:C295)</f>
        <v>1622619829</v>
      </c>
      <c r="D296" s="110">
        <f>SUM(D284:D295)</f>
        <v>1399548229</v>
      </c>
      <c r="E296" s="110">
        <f>SUM(E284:E295)</f>
        <v>1860920000</v>
      </c>
      <c r="F296" s="110">
        <f>SUM(F284:F295)</f>
        <v>1161248058</v>
      </c>
      <c r="G296" s="21"/>
    </row>
    <row r="297" spans="2:7" ht="15">
      <c r="B297" s="25"/>
      <c r="D297" s="228" t="s">
        <v>237</v>
      </c>
      <c r="E297" s="228"/>
      <c r="F297" s="228"/>
      <c r="G297" s="228"/>
    </row>
    <row r="298" spans="2:6" ht="12.75">
      <c r="B298" s="32" t="s">
        <v>30</v>
      </c>
      <c r="E298" s="217" t="s">
        <v>5</v>
      </c>
      <c r="F298" s="217"/>
    </row>
    <row r="299" ht="15.75">
      <c r="B299" s="7"/>
    </row>
    <row r="300" ht="15">
      <c r="B300" s="25"/>
    </row>
    <row r="301" ht="15">
      <c r="B301" s="25"/>
    </row>
    <row r="302" ht="15">
      <c r="B302" s="25"/>
    </row>
    <row r="303" ht="15">
      <c r="B303" s="25"/>
    </row>
    <row r="304" ht="15">
      <c r="B304" s="25"/>
    </row>
    <row r="305" spans="2:6" ht="15.75">
      <c r="B305" s="104" t="s">
        <v>227</v>
      </c>
      <c r="E305" s="229" t="s">
        <v>23</v>
      </c>
      <c r="F305" s="229"/>
    </row>
    <row r="306" ht="15">
      <c r="B306" s="25"/>
    </row>
    <row r="307" ht="15">
      <c r="B307" s="25"/>
    </row>
    <row r="308" ht="15">
      <c r="B308" s="25"/>
    </row>
  </sheetData>
  <sheetProtection/>
  <mergeCells count="66">
    <mergeCell ref="A93:F93"/>
    <mergeCell ref="A51:G51"/>
    <mergeCell ref="A52:F52"/>
    <mergeCell ref="A46:G46"/>
    <mergeCell ref="A98:G98"/>
    <mergeCell ref="F151:F152"/>
    <mergeCell ref="E151:E152"/>
    <mergeCell ref="C121:G121"/>
    <mergeCell ref="C122:D122"/>
    <mergeCell ref="E122:F122"/>
    <mergeCell ref="C168:G168"/>
    <mergeCell ref="C169:D169"/>
    <mergeCell ref="E169:F169"/>
    <mergeCell ref="C176:D176"/>
    <mergeCell ref="E176:F176"/>
    <mergeCell ref="A150:A152"/>
    <mergeCell ref="C150:F150"/>
    <mergeCell ref="G150:G152"/>
    <mergeCell ref="C151:C152"/>
    <mergeCell ref="D151:D152"/>
    <mergeCell ref="C129:D129"/>
    <mergeCell ref="E129:F129"/>
    <mergeCell ref="B101:E101"/>
    <mergeCell ref="A103:A105"/>
    <mergeCell ref="C103:F103"/>
    <mergeCell ref="G103:G105"/>
    <mergeCell ref="C104:C105"/>
    <mergeCell ref="D104:D105"/>
    <mergeCell ref="E104:E105"/>
    <mergeCell ref="F104:F105"/>
    <mergeCell ref="C54:F54"/>
    <mergeCell ref="G54:G56"/>
    <mergeCell ref="D55:D56"/>
    <mergeCell ref="E55:E56"/>
    <mergeCell ref="F55:F56"/>
    <mergeCell ref="C73:G73"/>
    <mergeCell ref="D297:G297"/>
    <mergeCell ref="E298:F298"/>
    <mergeCell ref="E305:F305"/>
    <mergeCell ref="B273:G273"/>
    <mergeCell ref="A278:G278"/>
    <mergeCell ref="A279:F279"/>
    <mergeCell ref="A281:A282"/>
    <mergeCell ref="B281:B282"/>
    <mergeCell ref="C281:C282"/>
    <mergeCell ref="D281:D282"/>
    <mergeCell ref="E281:E282"/>
    <mergeCell ref="F281:F282"/>
    <mergeCell ref="G281:G282"/>
    <mergeCell ref="A7:G7"/>
    <mergeCell ref="A8:F8"/>
    <mergeCell ref="A10:A11"/>
    <mergeCell ref="B10:B11"/>
    <mergeCell ref="E10:E11"/>
    <mergeCell ref="A99:F99"/>
    <mergeCell ref="A146:G146"/>
    <mergeCell ref="F10:F11"/>
    <mergeCell ref="G10:G11"/>
    <mergeCell ref="C10:C11"/>
    <mergeCell ref="D10:D11"/>
    <mergeCell ref="B2:G2"/>
    <mergeCell ref="A147:F147"/>
    <mergeCell ref="C74:D74"/>
    <mergeCell ref="E74:F74"/>
    <mergeCell ref="C81:D81"/>
    <mergeCell ref="E81:F81"/>
  </mergeCells>
  <printOptions horizontalCentered="1"/>
  <pageMargins left="0" right="0"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L175"/>
  <sheetViews>
    <sheetView tabSelected="1" zoomScalePageLayoutView="0" workbookViewId="0" topLeftCell="A22">
      <selection activeCell="D32" sqref="D32"/>
    </sheetView>
  </sheetViews>
  <sheetFormatPr defaultColWidth="9.140625" defaultRowHeight="12.75"/>
  <cols>
    <col min="1" max="1" width="5.8515625" style="22" customWidth="1"/>
    <col min="2" max="2" width="39.00390625" style="0" customWidth="1"/>
    <col min="3" max="3" width="16.140625" style="0" customWidth="1"/>
    <col min="4" max="4" width="15.7109375" style="0" customWidth="1"/>
    <col min="5" max="5" width="14.57421875" style="0" customWidth="1"/>
    <col min="6" max="6" width="13.57421875" style="0" customWidth="1"/>
    <col min="7" max="7" width="22.421875" style="0" customWidth="1"/>
    <col min="8" max="8" width="27.57421875" style="0" customWidth="1"/>
    <col min="9" max="9" width="15.7109375" style="0" customWidth="1"/>
    <col min="10" max="10" width="40.28125" style="27" customWidth="1"/>
    <col min="11" max="11" width="21.421875" style="0" customWidth="1"/>
  </cols>
  <sheetData>
    <row r="1" spans="2:6" ht="12.75">
      <c r="B1" s="3" t="s">
        <v>36</v>
      </c>
      <c r="C1" s="22"/>
      <c r="D1" s="22"/>
      <c r="E1" s="22"/>
      <c r="F1" s="22"/>
    </row>
    <row r="2" spans="2:6" ht="12.75">
      <c r="B2" s="3"/>
      <c r="C2" s="22"/>
      <c r="D2" s="22"/>
      <c r="E2" s="22"/>
      <c r="F2" s="22"/>
    </row>
    <row r="3" spans="1:6" ht="15.75">
      <c r="A3" s="7" t="s">
        <v>41</v>
      </c>
      <c r="B3" s="7"/>
      <c r="C3" s="229" t="s">
        <v>37</v>
      </c>
      <c r="D3" s="229"/>
      <c r="E3" s="229"/>
      <c r="F3" s="229"/>
    </row>
    <row r="4" spans="1:6" ht="16.5" customHeight="1">
      <c r="A4" s="7" t="s">
        <v>12</v>
      </c>
      <c r="B4" s="7"/>
      <c r="C4" s="229" t="s">
        <v>38</v>
      </c>
      <c r="D4" s="229"/>
      <c r="E4" s="229"/>
      <c r="F4" s="229"/>
    </row>
    <row r="5" spans="1:6" ht="18">
      <c r="A5" s="216"/>
      <c r="B5" s="216"/>
      <c r="C5" s="216"/>
      <c r="D5" s="216"/>
      <c r="E5" s="216"/>
      <c r="F5" s="216"/>
    </row>
    <row r="6" spans="1:6" ht="36.75" customHeight="1">
      <c r="A6" s="229" t="s">
        <v>261</v>
      </c>
      <c r="B6" s="229"/>
      <c r="C6" s="229"/>
      <c r="D6" s="229"/>
      <c r="E6" s="229"/>
      <c r="F6" s="229"/>
    </row>
    <row r="7" spans="1:6" ht="37.5" customHeight="1">
      <c r="A7" s="257" t="s">
        <v>39</v>
      </c>
      <c r="B7" s="258"/>
      <c r="C7" s="258"/>
      <c r="D7" s="258"/>
      <c r="E7" s="258"/>
      <c r="F7" s="258"/>
    </row>
    <row r="8" spans="1:6" ht="72.75" customHeight="1">
      <c r="A8" s="257" t="s">
        <v>40</v>
      </c>
      <c r="B8" s="258"/>
      <c r="C8" s="258"/>
      <c r="D8" s="258"/>
      <c r="E8" s="258"/>
      <c r="F8" s="258"/>
    </row>
    <row r="9" spans="1:6" ht="42" customHeight="1">
      <c r="A9" s="257" t="s">
        <v>318</v>
      </c>
      <c r="B9" s="258"/>
      <c r="C9" s="258"/>
      <c r="D9" s="258"/>
      <c r="E9" s="258"/>
      <c r="F9" s="258"/>
    </row>
    <row r="10" spans="1:5" ht="16.5" customHeight="1">
      <c r="A10" s="3"/>
      <c r="B10" s="7"/>
      <c r="C10" s="7"/>
      <c r="D10" s="18" t="s">
        <v>15</v>
      </c>
      <c r="E10" s="18"/>
    </row>
    <row r="11" spans="1:6" ht="33" customHeight="1">
      <c r="A11" s="224" t="s">
        <v>0</v>
      </c>
      <c r="B11" s="226" t="s">
        <v>8</v>
      </c>
      <c r="C11" s="259" t="s">
        <v>11</v>
      </c>
      <c r="D11" s="259" t="s">
        <v>22</v>
      </c>
      <c r="E11" s="259" t="s">
        <v>42</v>
      </c>
      <c r="F11" s="259" t="s">
        <v>46</v>
      </c>
    </row>
    <row r="12" spans="1:8" ht="49.5" customHeight="1">
      <c r="A12" s="225"/>
      <c r="B12" s="227"/>
      <c r="C12" s="260"/>
      <c r="D12" s="260"/>
      <c r="E12" s="260"/>
      <c r="F12" s="260"/>
      <c r="H12" s="47" t="e">
        <f>C15+C18+C21+C30-K14</f>
        <v>#REF!</v>
      </c>
    </row>
    <row r="13" spans="1:12" ht="21" customHeight="1">
      <c r="A13" s="13" t="s">
        <v>3</v>
      </c>
      <c r="B13" s="5" t="s">
        <v>4</v>
      </c>
      <c r="C13" s="4"/>
      <c r="D13" s="1"/>
      <c r="E13" s="1"/>
      <c r="F13" s="1"/>
      <c r="G13" s="261" t="s">
        <v>76</v>
      </c>
      <c r="H13" s="262"/>
      <c r="I13" s="262"/>
      <c r="J13" s="262"/>
      <c r="K13" s="262"/>
      <c r="L13" s="262"/>
    </row>
    <row r="14" spans="1:12" ht="20.25" customHeight="1">
      <c r="A14" s="2">
        <v>3</v>
      </c>
      <c r="B14" s="5" t="s">
        <v>10</v>
      </c>
      <c r="C14" s="4"/>
      <c r="D14" s="1"/>
      <c r="E14" s="1"/>
      <c r="F14" s="1"/>
      <c r="G14" s="159" t="s">
        <v>77</v>
      </c>
      <c r="H14" s="48"/>
      <c r="I14" s="48" t="s">
        <v>78</v>
      </c>
      <c r="J14" s="48"/>
      <c r="K14" s="49" t="e">
        <f>K15+K20+#REF!</f>
        <v>#REF!</v>
      </c>
      <c r="L14" s="49"/>
    </row>
    <row r="15" spans="1:12" ht="18.75" customHeight="1">
      <c r="A15" s="82">
        <v>6500</v>
      </c>
      <c r="B15" s="81" t="s">
        <v>262</v>
      </c>
      <c r="C15" s="83">
        <f>SUM(C16:C16)</f>
        <v>48000000</v>
      </c>
      <c r="D15" s="83">
        <f>SUM(D16:D16)</f>
        <v>10080000</v>
      </c>
      <c r="E15" s="1"/>
      <c r="F15" s="1"/>
      <c r="G15" s="129">
        <v>6000</v>
      </c>
      <c r="H15" s="263" t="s">
        <v>52</v>
      </c>
      <c r="I15" s="263"/>
      <c r="J15" s="50"/>
      <c r="K15" s="51">
        <f>SUM(K16:K19)</f>
        <v>2805347600</v>
      </c>
      <c r="L15" s="52"/>
    </row>
    <row r="16" spans="1:12" ht="90">
      <c r="A16" s="131">
        <v>6599</v>
      </c>
      <c r="B16" s="84" t="s">
        <v>263</v>
      </c>
      <c r="C16" s="132">
        <v>48000000</v>
      </c>
      <c r="D16" s="132">
        <v>10080000</v>
      </c>
      <c r="E16" s="1"/>
      <c r="F16" s="1"/>
      <c r="G16" s="133"/>
      <c r="H16" s="54">
        <v>6001</v>
      </c>
      <c r="I16" s="55" t="s">
        <v>53</v>
      </c>
      <c r="J16" s="55" t="s">
        <v>54</v>
      </c>
      <c r="K16" s="40">
        <v>1477066800</v>
      </c>
      <c r="L16" s="42"/>
    </row>
    <row r="17" spans="1:12" ht="15">
      <c r="A17" s="82"/>
      <c r="B17" s="81" t="s">
        <v>197</v>
      </c>
      <c r="C17" s="213">
        <f>C18+C21</f>
        <v>426324470</v>
      </c>
      <c r="D17" s="213">
        <f>D18+D21</f>
        <v>16376100</v>
      </c>
      <c r="E17" s="1"/>
      <c r="F17" s="1"/>
      <c r="G17" s="133"/>
      <c r="H17" s="54">
        <v>6001</v>
      </c>
      <c r="I17" s="55" t="s">
        <v>53</v>
      </c>
      <c r="J17" s="55" t="s">
        <v>55</v>
      </c>
      <c r="K17" s="40">
        <v>1155405600</v>
      </c>
      <c r="L17" s="42"/>
    </row>
    <row r="18" spans="1:12" ht="15">
      <c r="A18" s="267" t="s">
        <v>198</v>
      </c>
      <c r="B18" s="268"/>
      <c r="C18" s="134">
        <f>SUM(C19:C20)</f>
        <v>345000000</v>
      </c>
      <c r="D18" s="134">
        <f>SUM(D19:D20)</f>
        <v>13260000</v>
      </c>
      <c r="E18" s="1"/>
      <c r="F18" s="1"/>
      <c r="G18" s="133"/>
      <c r="H18" s="54">
        <v>6051</v>
      </c>
      <c r="I18" s="55" t="s">
        <v>56</v>
      </c>
      <c r="J18" s="55"/>
      <c r="K18" s="40">
        <v>81175200</v>
      </c>
      <c r="L18" s="42"/>
    </row>
    <row r="19" spans="1:12" ht="30">
      <c r="A19" s="54">
        <v>6757</v>
      </c>
      <c r="B19" s="101" t="s">
        <v>264</v>
      </c>
      <c r="C19" s="40">
        <v>345000000</v>
      </c>
      <c r="D19" s="40">
        <v>13260000</v>
      </c>
      <c r="E19" s="1"/>
      <c r="F19" s="1"/>
      <c r="G19" s="133"/>
      <c r="H19" s="54"/>
      <c r="I19" s="55"/>
      <c r="J19" s="55"/>
      <c r="K19" s="40">
        <v>91700000</v>
      </c>
      <c r="L19" s="42"/>
    </row>
    <row r="20" spans="1:12" ht="15">
      <c r="A20" s="54"/>
      <c r="B20" s="55"/>
      <c r="C20" s="40"/>
      <c r="D20" s="40"/>
      <c r="E20" s="1"/>
      <c r="F20" s="1"/>
      <c r="G20" s="129">
        <v>6100</v>
      </c>
      <c r="H20" s="263" t="s">
        <v>57</v>
      </c>
      <c r="I20" s="263"/>
      <c r="J20" s="50"/>
      <c r="K20" s="56">
        <f>SUM(K21:K29)</f>
        <v>1211674160</v>
      </c>
      <c r="L20" s="57"/>
    </row>
    <row r="21" spans="1:12" ht="15">
      <c r="A21" s="267" t="s">
        <v>201</v>
      </c>
      <c r="B21" s="268"/>
      <c r="C21" s="57">
        <f>SUM(C22:C25)</f>
        <v>81324470</v>
      </c>
      <c r="D21" s="57">
        <f>SUM(D22:D25)</f>
        <v>3116100</v>
      </c>
      <c r="E21" s="1"/>
      <c r="F21" s="1"/>
      <c r="G21" s="133"/>
      <c r="H21" s="54">
        <v>6101</v>
      </c>
      <c r="I21" s="46" t="s">
        <v>58</v>
      </c>
      <c r="J21" s="46" t="s">
        <v>59</v>
      </c>
      <c r="K21" s="40">
        <v>54534000</v>
      </c>
      <c r="L21" s="58"/>
    </row>
    <row r="22" spans="1:12" ht="15">
      <c r="A22" s="54">
        <v>6301</v>
      </c>
      <c r="B22" s="59" t="s">
        <v>68</v>
      </c>
      <c r="C22" s="40">
        <f>C18*17.5%</f>
        <v>60374999.99999999</v>
      </c>
      <c r="D22" s="40">
        <v>2320500</v>
      </c>
      <c r="E22" s="1"/>
      <c r="F22" s="1"/>
      <c r="G22" s="133"/>
      <c r="H22" s="54">
        <v>6112</v>
      </c>
      <c r="I22" s="46" t="s">
        <v>60</v>
      </c>
      <c r="J22" s="46" t="s">
        <v>61</v>
      </c>
      <c r="K22" s="40">
        <v>745469252</v>
      </c>
      <c r="L22" s="58"/>
    </row>
    <row r="23" spans="1:12" ht="15">
      <c r="A23" s="54">
        <v>6302</v>
      </c>
      <c r="B23" s="59" t="s">
        <v>202</v>
      </c>
      <c r="C23" s="40">
        <f>C18*3%</f>
        <v>10350000</v>
      </c>
      <c r="D23" s="40">
        <v>397800</v>
      </c>
      <c r="E23" s="1"/>
      <c r="F23" s="1"/>
      <c r="G23" s="133"/>
      <c r="H23" s="54"/>
      <c r="I23" s="46"/>
      <c r="J23" s="46"/>
      <c r="K23" s="40"/>
      <c r="L23" s="58"/>
    </row>
    <row r="24" spans="1:12" ht="15">
      <c r="A24" s="54">
        <v>6303</v>
      </c>
      <c r="B24" s="59" t="s">
        <v>203</v>
      </c>
      <c r="C24" s="40">
        <f>C18*2%</f>
        <v>6900000</v>
      </c>
      <c r="D24" s="40">
        <v>265200</v>
      </c>
      <c r="E24" s="1"/>
      <c r="F24" s="1"/>
      <c r="G24" s="133"/>
      <c r="H24" s="54">
        <v>6113</v>
      </c>
      <c r="I24" s="46" t="s">
        <v>62</v>
      </c>
      <c r="J24" s="46" t="s">
        <v>63</v>
      </c>
      <c r="K24" s="40">
        <v>3576000</v>
      </c>
      <c r="L24" s="58"/>
    </row>
    <row r="25" spans="1:12" ht="15">
      <c r="A25" s="54">
        <v>6304</v>
      </c>
      <c r="B25" s="87" t="s">
        <v>204</v>
      </c>
      <c r="C25" s="40">
        <f>C19*1%+249470</f>
        <v>3699470</v>
      </c>
      <c r="D25" s="40">
        <v>132600</v>
      </c>
      <c r="E25" s="1"/>
      <c r="F25" s="1"/>
      <c r="G25" s="133"/>
      <c r="H25" s="54"/>
      <c r="I25" s="46"/>
      <c r="J25" s="46"/>
      <c r="K25" s="40"/>
      <c r="L25" s="58"/>
    </row>
    <row r="26" spans="1:12" ht="15">
      <c r="A26" s="54"/>
      <c r="B26" s="88" t="s">
        <v>205</v>
      </c>
      <c r="C26" s="89">
        <f>C27</f>
        <v>13500000</v>
      </c>
      <c r="D26" s="89">
        <f>D27</f>
        <v>0</v>
      </c>
      <c r="E26" s="1"/>
      <c r="F26" s="1"/>
      <c r="G26" s="133"/>
      <c r="H26" s="54">
        <v>6115</v>
      </c>
      <c r="I26" s="46" t="s">
        <v>64</v>
      </c>
      <c r="J26" s="46" t="s">
        <v>65</v>
      </c>
      <c r="K26" s="40">
        <v>384139284</v>
      </c>
      <c r="L26" s="58"/>
    </row>
    <row r="27" spans="1:12" ht="15">
      <c r="A27" s="54">
        <v>6157</v>
      </c>
      <c r="B27" s="46" t="s">
        <v>206</v>
      </c>
      <c r="C27" s="68">
        <v>13500000</v>
      </c>
      <c r="D27" s="68"/>
      <c r="E27" s="1"/>
      <c r="F27" s="1"/>
      <c r="G27" s="133"/>
      <c r="H27" s="54"/>
      <c r="I27" s="46"/>
      <c r="J27" s="46"/>
      <c r="K27" s="40"/>
      <c r="L27" s="58"/>
    </row>
    <row r="28" spans="1:12" ht="15">
      <c r="A28" s="267" t="s">
        <v>80</v>
      </c>
      <c r="B28" s="268"/>
      <c r="C28" s="89">
        <f>SUM(C29:C38)</f>
        <v>1265915000</v>
      </c>
      <c r="D28" s="89">
        <f>SUM(D29:D38)</f>
        <v>36492810</v>
      </c>
      <c r="E28" s="1"/>
      <c r="F28" s="1"/>
      <c r="G28" s="133"/>
      <c r="H28" s="54">
        <v>6115</v>
      </c>
      <c r="I28" s="46" t="s">
        <v>66</v>
      </c>
      <c r="J28" s="46" t="s">
        <v>67</v>
      </c>
      <c r="K28" s="40">
        <v>23955624</v>
      </c>
      <c r="L28" s="58"/>
    </row>
    <row r="29" spans="1:12" ht="15">
      <c r="A29" s="54">
        <v>6449</v>
      </c>
      <c r="B29" s="87" t="s">
        <v>265</v>
      </c>
      <c r="C29" s="68">
        <v>300000000</v>
      </c>
      <c r="D29" s="68"/>
      <c r="E29" s="1"/>
      <c r="F29" s="1"/>
      <c r="G29" s="133"/>
      <c r="H29" s="54"/>
      <c r="I29" s="46"/>
      <c r="J29" s="46"/>
      <c r="K29" s="40"/>
      <c r="L29" s="58"/>
    </row>
    <row r="30" spans="1:12" ht="30">
      <c r="A30" s="54">
        <v>6449</v>
      </c>
      <c r="B30" s="135" t="s">
        <v>266</v>
      </c>
      <c r="C30" s="68">
        <v>14400000</v>
      </c>
      <c r="D30" s="68">
        <f>600000*2*3</f>
        <v>3600000</v>
      </c>
      <c r="E30" s="1"/>
      <c r="F30" s="1"/>
      <c r="G30" s="133"/>
      <c r="H30" s="54">
        <v>6301</v>
      </c>
      <c r="I30" s="59" t="s">
        <v>68</v>
      </c>
      <c r="J30" s="59" t="s">
        <v>69</v>
      </c>
      <c r="K30" s="40">
        <v>550346389</v>
      </c>
      <c r="L30" s="56"/>
    </row>
    <row r="31" spans="1:12" ht="30">
      <c r="A31" s="54">
        <v>6449</v>
      </c>
      <c r="B31" s="135" t="s">
        <v>267</v>
      </c>
      <c r="C31" s="68">
        <v>6000000</v>
      </c>
      <c r="D31" s="68">
        <f>500000*3</f>
        <v>1500000</v>
      </c>
      <c r="E31" s="1"/>
      <c r="F31" s="1"/>
      <c r="G31" s="133"/>
      <c r="H31" s="54">
        <v>6302</v>
      </c>
      <c r="I31" s="59" t="s">
        <v>70</v>
      </c>
      <c r="J31" s="59" t="s">
        <v>71</v>
      </c>
      <c r="K31" s="40">
        <f>(K15+K21+K26+K28)*3%</f>
        <v>98039295.24</v>
      </c>
      <c r="L31" s="56"/>
    </row>
    <row r="32" spans="1:12" ht="15">
      <c r="A32" s="54">
        <v>6449</v>
      </c>
      <c r="B32" s="87" t="s">
        <v>268</v>
      </c>
      <c r="C32" s="68">
        <v>89847000</v>
      </c>
      <c r="D32" s="68">
        <f>7487250*2+9713310</f>
        <v>24687810</v>
      </c>
      <c r="E32" s="1"/>
      <c r="F32" s="1"/>
      <c r="G32" s="133"/>
      <c r="H32" s="54">
        <v>6303</v>
      </c>
      <c r="I32" s="59" t="s">
        <v>72</v>
      </c>
      <c r="J32" s="59" t="s">
        <v>73</v>
      </c>
      <c r="K32" s="40">
        <f>(K15+K21+K26+K28)*2%</f>
        <v>65359530.160000004</v>
      </c>
      <c r="L32" s="56"/>
    </row>
    <row r="33" spans="1:12" ht="15">
      <c r="A33" s="54">
        <v>6449</v>
      </c>
      <c r="B33" s="87" t="s">
        <v>269</v>
      </c>
      <c r="C33" s="68">
        <v>10800000</v>
      </c>
      <c r="D33" s="68"/>
      <c r="E33" s="1"/>
      <c r="F33" s="1"/>
      <c r="G33" s="133"/>
      <c r="H33" s="54">
        <v>6304</v>
      </c>
      <c r="I33" s="59" t="s">
        <v>74</v>
      </c>
      <c r="J33" s="59" t="s">
        <v>75</v>
      </c>
      <c r="K33" s="40">
        <f>(K15+K21+K26+K28)*1%</f>
        <v>32679765.080000002</v>
      </c>
      <c r="L33" s="56"/>
    </row>
    <row r="34" spans="1:12" ht="15">
      <c r="A34" s="54">
        <v>6449</v>
      </c>
      <c r="B34" s="87" t="s">
        <v>270</v>
      </c>
      <c r="C34" s="68">
        <v>4500000</v>
      </c>
      <c r="D34" s="68"/>
      <c r="E34" s="1"/>
      <c r="F34" s="1"/>
      <c r="G34" s="265" t="s">
        <v>79</v>
      </c>
      <c r="H34" s="266"/>
      <c r="I34" s="266"/>
      <c r="J34" s="60"/>
      <c r="K34" s="56">
        <f>K39+K44+K47+K57+K61+K66+K71+K77+K83+K90+K92+K101</f>
        <v>1524000000</v>
      </c>
      <c r="L34" s="57"/>
    </row>
    <row r="35" spans="1:12" ht="15">
      <c r="A35" s="54">
        <v>6449</v>
      </c>
      <c r="B35" s="87" t="s">
        <v>271</v>
      </c>
      <c r="C35" s="68">
        <v>37548000</v>
      </c>
      <c r="D35" s="68"/>
      <c r="E35" s="1"/>
      <c r="F35" s="1"/>
      <c r="G35" s="160"/>
      <c r="H35" s="60"/>
      <c r="I35" s="60"/>
      <c r="J35" s="60"/>
      <c r="K35" s="56"/>
      <c r="L35" s="57"/>
    </row>
    <row r="36" spans="1:12" ht="15">
      <c r="A36" s="54">
        <v>6449</v>
      </c>
      <c r="B36" s="87" t="s">
        <v>272</v>
      </c>
      <c r="C36" s="68">
        <v>26820000</v>
      </c>
      <c r="D36" s="68">
        <f>2235000*3</f>
        <v>6705000</v>
      </c>
      <c r="E36" s="1"/>
      <c r="F36" s="1"/>
      <c r="G36" s="160"/>
      <c r="H36" s="60"/>
      <c r="I36" s="60"/>
      <c r="J36" s="60"/>
      <c r="K36" s="56"/>
      <c r="L36" s="57"/>
    </row>
    <row r="37" spans="1:12" ht="15">
      <c r="A37" s="54">
        <v>6449</v>
      </c>
      <c r="B37" s="87" t="s">
        <v>273</v>
      </c>
      <c r="C37" s="68">
        <v>680000000</v>
      </c>
      <c r="D37" s="68"/>
      <c r="E37" s="1"/>
      <c r="F37" s="1"/>
      <c r="G37" s="160"/>
      <c r="H37" s="60"/>
      <c r="I37" s="60"/>
      <c r="J37" s="60"/>
      <c r="K37" s="56"/>
      <c r="L37" s="57"/>
    </row>
    <row r="38" spans="1:12" ht="15">
      <c r="A38" s="54">
        <v>6449</v>
      </c>
      <c r="B38" s="87" t="s">
        <v>274</v>
      </c>
      <c r="C38" s="136">
        <v>96000000</v>
      </c>
      <c r="D38" s="136"/>
      <c r="E38" s="1"/>
      <c r="F38" s="1"/>
      <c r="G38" s="160"/>
      <c r="H38" s="60"/>
      <c r="I38" s="60"/>
      <c r="J38" s="60"/>
      <c r="K38" s="56"/>
      <c r="L38" s="57"/>
    </row>
    <row r="39" spans="1:12" ht="14.25">
      <c r="A39" s="252" t="s">
        <v>116</v>
      </c>
      <c r="B39" s="252"/>
      <c r="C39" s="56">
        <f>C40</f>
        <v>20000000</v>
      </c>
      <c r="D39" s="56">
        <f>D40</f>
        <v>0</v>
      </c>
      <c r="E39" s="1"/>
      <c r="F39" s="1"/>
      <c r="G39" s="129">
        <v>6400</v>
      </c>
      <c r="H39" s="263" t="s">
        <v>80</v>
      </c>
      <c r="I39" s="263"/>
      <c r="J39" s="50"/>
      <c r="K39" s="61">
        <f>SUM(K40:K43)</f>
        <v>30990000</v>
      </c>
      <c r="L39" s="61"/>
    </row>
    <row r="40" spans="1:12" ht="15">
      <c r="A40" s="54">
        <v>6758</v>
      </c>
      <c r="B40" s="46" t="s">
        <v>215</v>
      </c>
      <c r="C40" s="92">
        <v>20000000</v>
      </c>
      <c r="D40" s="92"/>
      <c r="E40" s="1"/>
      <c r="F40" s="1"/>
      <c r="G40" s="161"/>
      <c r="H40" s="54">
        <v>6449</v>
      </c>
      <c r="I40" s="59" t="s">
        <v>81</v>
      </c>
      <c r="J40" s="59" t="s">
        <v>82</v>
      </c>
      <c r="K40" s="42">
        <v>22590000</v>
      </c>
      <c r="L40" s="56"/>
    </row>
    <row r="41" spans="1:12" ht="15">
      <c r="A41" s="54"/>
      <c r="B41" s="65" t="s">
        <v>136</v>
      </c>
      <c r="C41" s="89">
        <f>SUM(C42:C42)</f>
        <v>1200000</v>
      </c>
      <c r="D41" s="89">
        <f>SUM(D42:D42)</f>
        <v>0</v>
      </c>
      <c r="E41" s="1"/>
      <c r="F41" s="1"/>
      <c r="G41" s="161"/>
      <c r="H41" s="54"/>
      <c r="I41" s="59"/>
      <c r="J41" s="59"/>
      <c r="K41" s="42"/>
      <c r="L41" s="56"/>
    </row>
    <row r="42" spans="1:12" ht="15">
      <c r="A42" s="54">
        <v>7004</v>
      </c>
      <c r="B42" s="59" t="s">
        <v>139</v>
      </c>
      <c r="C42" s="68">
        <v>1200000</v>
      </c>
      <c r="D42" s="68"/>
      <c r="E42" s="1"/>
      <c r="F42" s="1"/>
      <c r="G42" s="161"/>
      <c r="H42" s="54">
        <v>6449</v>
      </c>
      <c r="I42" s="59" t="s">
        <v>81</v>
      </c>
      <c r="J42" s="59" t="s">
        <v>82</v>
      </c>
      <c r="K42" s="42">
        <v>8400000</v>
      </c>
      <c r="L42" s="56"/>
    </row>
    <row r="43" spans="1:12" ht="15">
      <c r="A43" s="54"/>
      <c r="B43" s="65" t="s">
        <v>81</v>
      </c>
      <c r="C43" s="89">
        <f>SUM(C44:C45)</f>
        <v>150000000</v>
      </c>
      <c r="D43" s="89">
        <f>SUM(D44:D45)</f>
        <v>120000000</v>
      </c>
      <c r="E43" s="1"/>
      <c r="F43" s="1"/>
      <c r="G43" s="161"/>
      <c r="H43" s="54"/>
      <c r="I43" s="59"/>
      <c r="J43" s="59"/>
      <c r="K43" s="42"/>
      <c r="L43" s="62"/>
    </row>
    <row r="44" spans="1:12" ht="15">
      <c r="A44" s="54">
        <v>7757</v>
      </c>
      <c r="B44" s="94" t="s">
        <v>219</v>
      </c>
      <c r="C44" s="68">
        <v>30000000</v>
      </c>
      <c r="D44" s="68"/>
      <c r="E44" s="1"/>
      <c r="F44" s="1"/>
      <c r="G44" s="133">
        <v>6500</v>
      </c>
      <c r="H44" s="252" t="s">
        <v>83</v>
      </c>
      <c r="I44" s="252"/>
      <c r="J44" s="53"/>
      <c r="K44" s="56">
        <f>SUM(K45:K46)</f>
        <v>360000000</v>
      </c>
      <c r="L44" s="56"/>
    </row>
    <row r="45" spans="1:12" ht="15">
      <c r="A45" s="54">
        <v>7799</v>
      </c>
      <c r="B45" s="59" t="s">
        <v>275</v>
      </c>
      <c r="C45" s="68">
        <v>120000000</v>
      </c>
      <c r="D45" s="68">
        <v>120000000</v>
      </c>
      <c r="E45" s="1"/>
      <c r="F45" s="1"/>
      <c r="G45" s="133"/>
      <c r="H45" s="54">
        <v>6501</v>
      </c>
      <c r="I45" s="55" t="s">
        <v>84</v>
      </c>
      <c r="J45" s="55" t="s">
        <v>85</v>
      </c>
      <c r="K45" s="41">
        <v>300000000</v>
      </c>
      <c r="L45" s="42"/>
    </row>
    <row r="46" spans="1:12" ht="15">
      <c r="A46" s="53"/>
      <c r="B46" s="88" t="s">
        <v>276</v>
      </c>
      <c r="C46" s="89">
        <f>C47</f>
        <v>149000000</v>
      </c>
      <c r="D46" s="89">
        <f>D47</f>
        <v>0</v>
      </c>
      <c r="E46" s="1"/>
      <c r="F46" s="1"/>
      <c r="G46" s="133"/>
      <c r="H46" s="54">
        <v>6504</v>
      </c>
      <c r="I46" s="55" t="s">
        <v>86</v>
      </c>
      <c r="J46" s="55" t="s">
        <v>87</v>
      </c>
      <c r="K46" s="41">
        <v>60000000</v>
      </c>
      <c r="L46" s="42"/>
    </row>
    <row r="47" spans="1:12" ht="15">
      <c r="A47" s="54">
        <v>8006</v>
      </c>
      <c r="B47" s="59" t="s">
        <v>277</v>
      </c>
      <c r="C47" s="68">
        <v>149000000</v>
      </c>
      <c r="D47" s="68"/>
      <c r="E47" s="1"/>
      <c r="F47" s="1"/>
      <c r="G47" s="133">
        <v>6550</v>
      </c>
      <c r="H47" s="252" t="s">
        <v>88</v>
      </c>
      <c r="I47" s="252"/>
      <c r="J47" s="53"/>
      <c r="K47" s="56">
        <f>SUM(K48:K56)</f>
        <v>377200000</v>
      </c>
      <c r="L47" s="56"/>
    </row>
    <row r="48" spans="1:12" ht="20.25">
      <c r="A48" s="99"/>
      <c r="B48" s="137" t="s">
        <v>278</v>
      </c>
      <c r="C48" s="156">
        <f>C15+C17+C26+C28+C39+C41+C43+C46</f>
        <v>2073939470</v>
      </c>
      <c r="D48" s="156">
        <f>D15+D17+D26+D28+D39+D41+D43+D46</f>
        <v>182948910</v>
      </c>
      <c r="E48" s="1"/>
      <c r="F48" s="1"/>
      <c r="G48" s="133"/>
      <c r="H48" s="54">
        <v>6551</v>
      </c>
      <c r="I48" s="63" t="s">
        <v>89</v>
      </c>
      <c r="J48" s="63" t="s">
        <v>90</v>
      </c>
      <c r="K48" s="41">
        <v>60000000</v>
      </c>
      <c r="L48" s="42"/>
    </row>
    <row r="49" spans="1:12" ht="15" customHeight="1">
      <c r="A49" s="269" t="s">
        <v>279</v>
      </c>
      <c r="B49" s="270" t="s">
        <v>280</v>
      </c>
      <c r="C49" s="264" t="s">
        <v>281</v>
      </c>
      <c r="D49" s="264" t="s">
        <v>281</v>
      </c>
      <c r="E49" s="1"/>
      <c r="F49" s="1"/>
      <c r="G49" s="133"/>
      <c r="H49" s="54"/>
      <c r="I49" s="63"/>
      <c r="J49" s="63"/>
      <c r="K49" s="41"/>
      <c r="L49" s="42"/>
    </row>
    <row r="50" spans="1:12" ht="15" customHeight="1">
      <c r="A50" s="269"/>
      <c r="B50" s="270"/>
      <c r="C50" s="264"/>
      <c r="D50" s="264"/>
      <c r="E50" s="1"/>
      <c r="F50" s="1"/>
      <c r="G50" s="133"/>
      <c r="H50" s="54"/>
      <c r="I50" s="63"/>
      <c r="J50" s="63"/>
      <c r="K50" s="41"/>
      <c r="L50" s="42"/>
    </row>
    <row r="51" spans="1:12" ht="15" customHeight="1">
      <c r="A51" s="139">
        <v>2</v>
      </c>
      <c r="B51" s="138">
        <v>3</v>
      </c>
      <c r="C51" s="140">
        <v>5</v>
      </c>
      <c r="D51" s="140">
        <v>5</v>
      </c>
      <c r="E51" s="1"/>
      <c r="F51" s="1"/>
      <c r="G51" s="133"/>
      <c r="H51" s="54"/>
      <c r="I51" s="63"/>
      <c r="J51" s="63"/>
      <c r="K51" s="41"/>
      <c r="L51" s="42"/>
    </row>
    <row r="52" spans="1:12" ht="15">
      <c r="A52" s="142"/>
      <c r="B52" s="141" t="s">
        <v>282</v>
      </c>
      <c r="C52" s="165">
        <f>C54+C78</f>
        <v>6841177210.18</v>
      </c>
      <c r="D52" s="165">
        <f>D54+D78</f>
        <v>1508192699</v>
      </c>
      <c r="E52" s="1"/>
      <c r="F52" s="1"/>
      <c r="G52" s="133"/>
      <c r="H52" s="54"/>
      <c r="I52" s="63"/>
      <c r="J52" s="63"/>
      <c r="K52" s="41"/>
      <c r="L52" s="42"/>
    </row>
    <row r="53" spans="1:12" ht="15">
      <c r="A53" s="143"/>
      <c r="B53" s="143"/>
      <c r="C53" s="143"/>
      <c r="D53" s="143"/>
      <c r="E53" s="1"/>
      <c r="F53" s="1"/>
      <c r="G53" s="133"/>
      <c r="H53" s="54">
        <v>6552</v>
      </c>
      <c r="I53" s="63" t="s">
        <v>91</v>
      </c>
      <c r="J53" s="63" t="s">
        <v>92</v>
      </c>
      <c r="K53" s="64">
        <v>60000000</v>
      </c>
      <c r="L53" s="42"/>
    </row>
    <row r="54" spans="1:12" ht="16.5">
      <c r="A54" s="144"/>
      <c r="B54" s="144" t="s">
        <v>78</v>
      </c>
      <c r="C54" s="145">
        <f>C55+C60+C69+C59+0.5</f>
        <v>5182377210.18</v>
      </c>
      <c r="D54" s="145">
        <f>D55+D60+D69+D59</f>
        <v>1229031069</v>
      </c>
      <c r="E54" s="1"/>
      <c r="F54" s="1"/>
      <c r="G54" s="130"/>
      <c r="H54" s="54">
        <v>6552</v>
      </c>
      <c r="I54" s="63" t="s">
        <v>91</v>
      </c>
      <c r="J54" s="66" t="s">
        <v>93</v>
      </c>
      <c r="K54" s="67">
        <v>158200000</v>
      </c>
      <c r="L54" s="68"/>
    </row>
    <row r="55" spans="1:12" ht="16.5">
      <c r="A55" s="252" t="s">
        <v>52</v>
      </c>
      <c r="B55" s="252"/>
      <c r="C55" s="80">
        <f>SUM(C56:C58)</f>
        <v>2876367600</v>
      </c>
      <c r="D55" s="80">
        <f>SUM(D56:D58)</f>
        <v>707955600</v>
      </c>
      <c r="E55" s="1"/>
      <c r="F55" s="1"/>
      <c r="G55" s="215">
        <f>D55+D61+D62</f>
        <v>724047600</v>
      </c>
      <c r="H55" s="54">
        <v>6552</v>
      </c>
      <c r="I55" s="63" t="s">
        <v>91</v>
      </c>
      <c r="J55" s="66" t="s">
        <v>94</v>
      </c>
      <c r="K55" s="67">
        <v>69000000</v>
      </c>
      <c r="L55" s="68"/>
    </row>
    <row r="56" spans="1:12" ht="30">
      <c r="A56" s="54">
        <v>6001</v>
      </c>
      <c r="B56" s="101" t="s">
        <v>283</v>
      </c>
      <c r="C56" s="40">
        <f>149.88*1210000*12</f>
        <v>2176257600</v>
      </c>
      <c r="D56" s="40">
        <f>668175600/149*121</f>
        <v>542612400</v>
      </c>
      <c r="E56" s="157"/>
      <c r="F56" s="10"/>
      <c r="G56" s="133"/>
      <c r="H56" s="54">
        <v>6599</v>
      </c>
      <c r="I56" s="63" t="s">
        <v>95</v>
      </c>
      <c r="J56" s="63" t="s">
        <v>96</v>
      </c>
      <c r="K56" s="41">
        <v>30000000</v>
      </c>
      <c r="L56" s="42"/>
    </row>
    <row r="57" spans="1:12" ht="15">
      <c r="A57" s="54">
        <v>6001</v>
      </c>
      <c r="B57" s="55" t="s">
        <v>284</v>
      </c>
      <c r="C57" s="40">
        <f>149.88*280000*12</f>
        <v>503596800</v>
      </c>
      <c r="D57" s="40">
        <f>668175600/149*28</f>
        <v>125563200</v>
      </c>
      <c r="E57" s="1"/>
      <c r="F57" s="10"/>
      <c r="G57" s="133">
        <v>6600</v>
      </c>
      <c r="H57" s="252" t="s">
        <v>97</v>
      </c>
      <c r="I57" s="252"/>
      <c r="J57" s="53"/>
      <c r="K57" s="56">
        <f>SUM(K58:K60)</f>
        <v>15216000</v>
      </c>
      <c r="L57" s="56"/>
    </row>
    <row r="58" spans="1:12" ht="15">
      <c r="A58" s="54">
        <v>6051</v>
      </c>
      <c r="B58" s="55" t="s">
        <v>285</v>
      </c>
      <c r="C58" s="40">
        <v>196513200</v>
      </c>
      <c r="D58" s="40">
        <v>39780000</v>
      </c>
      <c r="E58" s="1"/>
      <c r="F58" s="10"/>
      <c r="G58" s="133"/>
      <c r="H58" s="54">
        <v>6601</v>
      </c>
      <c r="I58" s="63" t="s">
        <v>98</v>
      </c>
      <c r="J58" s="63" t="s">
        <v>99</v>
      </c>
      <c r="K58" s="41">
        <v>3600000</v>
      </c>
      <c r="L58" s="42"/>
    </row>
    <row r="59" spans="1:12" ht="15">
      <c r="A59" s="54"/>
      <c r="B59" s="55"/>
      <c r="C59" s="40">
        <f>C55*0.03-20309471</f>
        <v>65981557</v>
      </c>
      <c r="D59" s="40"/>
      <c r="E59" s="1"/>
      <c r="F59" s="10"/>
      <c r="G59" s="133"/>
      <c r="H59" s="54">
        <v>6605</v>
      </c>
      <c r="I59" s="63" t="s">
        <v>100</v>
      </c>
      <c r="J59" s="63" t="s">
        <v>101</v>
      </c>
      <c r="K59" s="41">
        <v>6816000</v>
      </c>
      <c r="L59" s="42"/>
    </row>
    <row r="60" spans="1:12" ht="15">
      <c r="A60" s="252" t="s">
        <v>57</v>
      </c>
      <c r="B60" s="252"/>
      <c r="C60" s="56">
        <f>SUM(C61:C68)</f>
        <v>1303856088</v>
      </c>
      <c r="D60" s="56">
        <f>SUM(D61:D68)</f>
        <v>312448828</v>
      </c>
      <c r="E60" s="1"/>
      <c r="F60" s="10"/>
      <c r="G60" s="133"/>
      <c r="H60" s="54">
        <v>6618</v>
      </c>
      <c r="I60" s="63" t="s">
        <v>102</v>
      </c>
      <c r="J60" s="63" t="s">
        <v>103</v>
      </c>
      <c r="K60" s="41">
        <v>4800000</v>
      </c>
      <c r="L60" s="42"/>
    </row>
    <row r="61" spans="1:12" ht="15">
      <c r="A61" s="54">
        <v>6101</v>
      </c>
      <c r="B61" s="46" t="s">
        <v>286</v>
      </c>
      <c r="C61" s="40">
        <f>3.6*1210000*12</f>
        <v>52272000</v>
      </c>
      <c r="D61" s="40">
        <f>16092000/1490*1210</f>
        <v>13068000</v>
      </c>
      <c r="E61" s="1"/>
      <c r="F61" s="10"/>
      <c r="G61" s="133">
        <v>6650</v>
      </c>
      <c r="H61" s="252" t="s">
        <v>104</v>
      </c>
      <c r="I61" s="252"/>
      <c r="J61" s="53"/>
      <c r="K61" s="56">
        <f>SUM(K62:K65)</f>
        <v>0</v>
      </c>
      <c r="L61" s="56"/>
    </row>
    <row r="62" spans="1:12" ht="15">
      <c r="A62" s="54"/>
      <c r="B62" s="46" t="s">
        <v>287</v>
      </c>
      <c r="C62" s="40">
        <f>3.6*280000*12</f>
        <v>12096000</v>
      </c>
      <c r="D62" s="40">
        <f>16092000/1490*280</f>
        <v>3024000</v>
      </c>
      <c r="E62" s="1"/>
      <c r="F62" s="10"/>
      <c r="G62" s="133"/>
      <c r="H62" s="54">
        <v>6657</v>
      </c>
      <c r="I62" s="63" t="s">
        <v>105</v>
      </c>
      <c r="J62" s="63"/>
      <c r="K62" s="41"/>
      <c r="L62" s="42"/>
    </row>
    <row r="63" spans="1:12" ht="15">
      <c r="A63" s="54">
        <v>6112</v>
      </c>
      <c r="B63" s="46" t="s">
        <v>288</v>
      </c>
      <c r="C63" s="40">
        <f>49.9994*1210000*12</f>
        <v>725991288</v>
      </c>
      <c r="D63" s="40">
        <f>208655577/1490*1210</f>
        <v>169445133</v>
      </c>
      <c r="E63" s="1"/>
      <c r="F63" s="10"/>
      <c r="G63" s="133"/>
      <c r="H63" s="54"/>
      <c r="I63" s="63"/>
      <c r="J63" s="63"/>
      <c r="K63" s="41"/>
      <c r="L63" s="42"/>
    </row>
    <row r="64" spans="1:12" ht="15">
      <c r="A64" s="54"/>
      <c r="B64" s="46" t="s">
        <v>289</v>
      </c>
      <c r="C64" s="40">
        <f>49.9994*280000*12</f>
        <v>167997984</v>
      </c>
      <c r="D64" s="40">
        <f>208655577/1490*280</f>
        <v>39210444</v>
      </c>
      <c r="E64" s="1"/>
      <c r="F64" s="10"/>
      <c r="G64" s="133"/>
      <c r="H64" s="54"/>
      <c r="I64" s="63"/>
      <c r="J64" s="63"/>
      <c r="K64" s="41"/>
      <c r="L64" s="42"/>
    </row>
    <row r="65" spans="1:12" ht="15">
      <c r="A65" s="54">
        <v>6113</v>
      </c>
      <c r="B65" s="46" t="s">
        <v>290</v>
      </c>
      <c r="C65" s="40">
        <f>0.3*1210000*12</f>
        <v>4356000</v>
      </c>
      <c r="D65" s="40">
        <f>1788000/1490*1210</f>
        <v>1452000</v>
      </c>
      <c r="E65" s="1"/>
      <c r="F65" s="10"/>
      <c r="G65" s="133"/>
      <c r="H65" s="54">
        <v>6699</v>
      </c>
      <c r="I65" s="55" t="s">
        <v>106</v>
      </c>
      <c r="J65" s="55"/>
      <c r="K65" s="41"/>
      <c r="L65" s="42"/>
    </row>
    <row r="66" spans="1:12" ht="15">
      <c r="A66" s="54"/>
      <c r="B66" s="46" t="s">
        <v>291</v>
      </c>
      <c r="C66" s="40">
        <f>0.3*280000*12</f>
        <v>1008000</v>
      </c>
      <c r="D66" s="40">
        <f>1788000/1490*280</f>
        <v>336000</v>
      </c>
      <c r="E66" s="1"/>
      <c r="F66" s="1"/>
      <c r="G66" s="133">
        <v>6700</v>
      </c>
      <c r="H66" s="252" t="s">
        <v>107</v>
      </c>
      <c r="I66" s="252"/>
      <c r="J66" s="53"/>
      <c r="K66" s="56">
        <f>SUM(K67:K70)</f>
        <v>78948000</v>
      </c>
      <c r="L66" s="56"/>
    </row>
    <row r="67" spans="1:12" ht="26.25">
      <c r="A67" s="54">
        <v>6115</v>
      </c>
      <c r="B67" s="146" t="s">
        <v>292</v>
      </c>
      <c r="C67" s="40">
        <f>(18.0488+0.9744)*1210000*12</f>
        <v>276216864</v>
      </c>
      <c r="D67" s="40">
        <f>85913251/1490*1210</f>
        <v>69768479</v>
      </c>
      <c r="E67" s="1"/>
      <c r="F67" s="1"/>
      <c r="G67" s="133"/>
      <c r="H67" s="54">
        <v>6701</v>
      </c>
      <c r="I67" s="55" t="s">
        <v>108</v>
      </c>
      <c r="J67" s="55" t="s">
        <v>109</v>
      </c>
      <c r="K67" s="41">
        <v>30000000</v>
      </c>
      <c r="L67" s="42"/>
    </row>
    <row r="68" spans="1:12" ht="26.25">
      <c r="A68" s="54"/>
      <c r="B68" s="146" t="s">
        <v>293</v>
      </c>
      <c r="C68" s="40">
        <f>(18.0488+0.9744)*280000*12</f>
        <v>63917952</v>
      </c>
      <c r="D68" s="40">
        <f>85913251/1490*280</f>
        <v>16144772</v>
      </c>
      <c r="E68" s="1"/>
      <c r="F68" s="1"/>
      <c r="G68" s="133"/>
      <c r="H68" s="54">
        <v>6702</v>
      </c>
      <c r="I68" s="55" t="s">
        <v>110</v>
      </c>
      <c r="J68" s="55" t="s">
        <v>111</v>
      </c>
      <c r="K68" s="41">
        <v>30948000</v>
      </c>
      <c r="L68" s="42"/>
    </row>
    <row r="69" spans="1:12" ht="15">
      <c r="A69" s="252" t="s">
        <v>294</v>
      </c>
      <c r="B69" s="252"/>
      <c r="C69" s="56">
        <f>SUM(C70:C77)</f>
        <v>936171964.6799998</v>
      </c>
      <c r="D69" s="56">
        <f>SUM(D70:D77)</f>
        <v>208626641</v>
      </c>
      <c r="E69" s="1"/>
      <c r="F69" s="1"/>
      <c r="G69" s="133"/>
      <c r="H69" s="54">
        <v>6703</v>
      </c>
      <c r="I69" s="55" t="s">
        <v>112</v>
      </c>
      <c r="J69" s="55" t="s">
        <v>113</v>
      </c>
      <c r="K69" s="41">
        <v>6000000</v>
      </c>
      <c r="L69" s="42"/>
    </row>
    <row r="70" spans="1:12" ht="15">
      <c r="A70" s="54">
        <v>6301</v>
      </c>
      <c r="B70" s="59" t="s">
        <v>295</v>
      </c>
      <c r="C70" s="40">
        <f>(C56+C61+C63+C65+C67)*17.5%</f>
        <v>566141406.5999999</v>
      </c>
      <c r="D70" s="40">
        <f>155550123/1490*1210</f>
        <v>126319227.40268455</v>
      </c>
      <c r="E70" s="157"/>
      <c r="F70" s="1"/>
      <c r="G70" s="133"/>
      <c r="H70" s="54">
        <v>6704</v>
      </c>
      <c r="I70" s="63" t="s">
        <v>114</v>
      </c>
      <c r="J70" s="63" t="s">
        <v>115</v>
      </c>
      <c r="K70" s="41">
        <v>12000000</v>
      </c>
      <c r="L70" s="42"/>
    </row>
    <row r="71" spans="1:12" ht="15">
      <c r="A71" s="54">
        <v>6302</v>
      </c>
      <c r="B71" s="59" t="s">
        <v>296</v>
      </c>
      <c r="C71" s="40">
        <f>(C56+C61+C63+C65+C67)*3%</f>
        <v>97052812.56</v>
      </c>
      <c r="D71" s="40">
        <f>26665735/1490*1210</f>
        <v>21654724.395973153</v>
      </c>
      <c r="E71" s="1"/>
      <c r="F71" s="1"/>
      <c r="G71" s="133">
        <v>6750</v>
      </c>
      <c r="H71" s="252" t="s">
        <v>116</v>
      </c>
      <c r="I71" s="252"/>
      <c r="J71" s="53"/>
      <c r="K71" s="56">
        <f>SUM(K72:K76)</f>
        <v>144000000</v>
      </c>
      <c r="L71" s="56"/>
    </row>
    <row r="72" spans="1:12" ht="15">
      <c r="A72" s="54">
        <v>6303</v>
      </c>
      <c r="B72" s="59" t="s">
        <v>297</v>
      </c>
      <c r="C72" s="40">
        <f>(C56+C61+C63+C65+C67)*2%</f>
        <v>64701875.04</v>
      </c>
      <c r="D72" s="40">
        <f>17777158/1490*1210</f>
        <v>14436484.013422819</v>
      </c>
      <c r="E72" s="1"/>
      <c r="F72" s="1"/>
      <c r="G72" s="133"/>
      <c r="H72" s="54">
        <v>6751</v>
      </c>
      <c r="I72" s="55" t="s">
        <v>117</v>
      </c>
      <c r="J72" s="55" t="s">
        <v>118</v>
      </c>
      <c r="K72" s="42">
        <v>18000000</v>
      </c>
      <c r="L72" s="42"/>
    </row>
    <row r="73" spans="1:12" ht="15">
      <c r="A73" s="54">
        <v>6304</v>
      </c>
      <c r="B73" s="59" t="s">
        <v>298</v>
      </c>
      <c r="C73" s="40">
        <f>(C56+C61+C63+C65+C67)*1%</f>
        <v>32350937.52</v>
      </c>
      <c r="D73" s="40">
        <f>8633625/1490*1210</f>
        <v>7011198.825503356</v>
      </c>
      <c r="E73" s="1"/>
      <c r="F73" s="1"/>
      <c r="G73" s="103"/>
      <c r="H73" s="54">
        <v>6757</v>
      </c>
      <c r="I73" s="59" t="s">
        <v>119</v>
      </c>
      <c r="J73" s="59" t="s">
        <v>120</v>
      </c>
      <c r="K73" s="43">
        <v>36000000</v>
      </c>
      <c r="L73" s="68"/>
    </row>
    <row r="74" spans="1:12" ht="15">
      <c r="A74" s="54">
        <v>6301</v>
      </c>
      <c r="B74" s="59" t="s">
        <v>299</v>
      </c>
      <c r="C74" s="40">
        <f>(C57+C62+C64+C66+C68)*17.5%</f>
        <v>131007928.8</v>
      </c>
      <c r="D74" s="40">
        <f>155550123/1490*280</f>
        <v>29230895.597315434</v>
      </c>
      <c r="E74" s="1"/>
      <c r="F74" s="1"/>
      <c r="G74" s="103"/>
      <c r="H74" s="54">
        <v>6757</v>
      </c>
      <c r="I74" s="59" t="s">
        <v>119</v>
      </c>
      <c r="J74" s="59" t="s">
        <v>121</v>
      </c>
      <c r="K74" s="43">
        <v>48000000</v>
      </c>
      <c r="L74" s="68"/>
    </row>
    <row r="75" spans="1:12" ht="15">
      <c r="A75" s="54">
        <v>6302</v>
      </c>
      <c r="B75" s="59" t="s">
        <v>300</v>
      </c>
      <c r="C75" s="40">
        <f>(C57+C62+C64+C66+C68)*3%</f>
        <v>22458502.08</v>
      </c>
      <c r="D75" s="40">
        <f>26665735/1490*280</f>
        <v>5011010.604026846</v>
      </c>
      <c r="E75" s="1"/>
      <c r="F75" s="1"/>
      <c r="G75" s="103"/>
      <c r="H75" s="54">
        <v>6758</v>
      </c>
      <c r="I75" s="59" t="s">
        <v>122</v>
      </c>
      <c r="J75" s="59" t="s">
        <v>123</v>
      </c>
      <c r="K75" s="43">
        <v>30000000</v>
      </c>
      <c r="L75" s="68"/>
    </row>
    <row r="76" spans="1:12" ht="15">
      <c r="A76" s="54">
        <v>6303</v>
      </c>
      <c r="B76" s="59" t="s">
        <v>301</v>
      </c>
      <c r="C76" s="40">
        <f>(C57+C62+C64+C66+C68)*2%</f>
        <v>14972334.72</v>
      </c>
      <c r="D76" s="40">
        <f>17777158/1490*280</f>
        <v>3340673.9865771816</v>
      </c>
      <c r="E76" s="1"/>
      <c r="F76" s="1"/>
      <c r="G76" s="133"/>
      <c r="H76" s="54">
        <v>6799</v>
      </c>
      <c r="I76" s="59" t="s">
        <v>124</v>
      </c>
      <c r="J76" s="59" t="s">
        <v>125</v>
      </c>
      <c r="K76" s="42">
        <v>12000000</v>
      </c>
      <c r="L76" s="42"/>
    </row>
    <row r="77" spans="1:12" ht="15">
      <c r="A77" s="54">
        <v>6304</v>
      </c>
      <c r="B77" s="59" t="s">
        <v>302</v>
      </c>
      <c r="C77" s="40">
        <f>(C57+C62+C64+C66+C68)*1%</f>
        <v>7486167.36</v>
      </c>
      <c r="D77" s="40">
        <f>8633625/1490*280</f>
        <v>1622426.1744966444</v>
      </c>
      <c r="E77" s="1"/>
      <c r="F77" s="1"/>
      <c r="G77" s="133">
        <v>6900</v>
      </c>
      <c r="H77" s="252" t="s">
        <v>126</v>
      </c>
      <c r="I77" s="252"/>
      <c r="J77" s="53"/>
      <c r="K77" s="56">
        <f>SUM(K78:K82)</f>
        <v>267600000</v>
      </c>
      <c r="L77" s="56"/>
    </row>
    <row r="78" spans="1:12" ht="15">
      <c r="A78" s="75"/>
      <c r="B78" s="75" t="s">
        <v>303</v>
      </c>
      <c r="C78" s="56">
        <f>C79+C83+C86+C92+C96+C99+C104+C109+C115+C121+C123+C132</f>
        <v>1658800000</v>
      </c>
      <c r="D78" s="56">
        <f>D79+D83+D86+D92+D96+D99+D104+D109+D115+D121+D123+D132</f>
        <v>279161630</v>
      </c>
      <c r="E78" s="1"/>
      <c r="F78" s="1"/>
      <c r="G78" s="161"/>
      <c r="H78" s="54">
        <v>6907</v>
      </c>
      <c r="I78" s="55" t="s">
        <v>127</v>
      </c>
      <c r="J78" s="55" t="s">
        <v>128</v>
      </c>
      <c r="K78" s="41">
        <v>30000000</v>
      </c>
      <c r="L78" s="42"/>
    </row>
    <row r="79" spans="1:12" ht="15">
      <c r="A79" s="252" t="s">
        <v>80</v>
      </c>
      <c r="B79" s="252"/>
      <c r="C79" s="56">
        <f>SUM(C80:C82)</f>
        <v>30990000</v>
      </c>
      <c r="D79" s="56">
        <f>SUM(D80:D82)</f>
        <v>0</v>
      </c>
      <c r="E79" s="1"/>
      <c r="F79" s="1"/>
      <c r="G79" s="161"/>
      <c r="H79" s="54">
        <v>6912</v>
      </c>
      <c r="I79" s="55" t="s">
        <v>129</v>
      </c>
      <c r="J79" s="55" t="s">
        <v>130</v>
      </c>
      <c r="K79" s="41">
        <v>12000000</v>
      </c>
      <c r="L79" s="42"/>
    </row>
    <row r="80" spans="1:12" ht="15">
      <c r="A80" s="54">
        <v>6449</v>
      </c>
      <c r="B80" s="59" t="s">
        <v>304</v>
      </c>
      <c r="C80" s="42">
        <v>22590000</v>
      </c>
      <c r="D80" s="42"/>
      <c r="E80" s="1"/>
      <c r="F80" s="1"/>
      <c r="G80" s="161"/>
      <c r="H80" s="54">
        <v>6913</v>
      </c>
      <c r="I80" s="55" t="s">
        <v>131</v>
      </c>
      <c r="J80" s="55" t="s">
        <v>128</v>
      </c>
      <c r="K80" s="41">
        <v>30000000</v>
      </c>
      <c r="L80" s="42"/>
    </row>
    <row r="81" spans="1:12" ht="15">
      <c r="A81" s="54">
        <v>6449</v>
      </c>
      <c r="B81" s="59" t="s">
        <v>81</v>
      </c>
      <c r="C81" s="42">
        <v>8400000</v>
      </c>
      <c r="D81" s="42"/>
      <c r="E81" s="1"/>
      <c r="F81" s="1"/>
      <c r="G81" s="161"/>
      <c r="H81" s="54">
        <v>6921</v>
      </c>
      <c r="I81" s="55" t="s">
        <v>132</v>
      </c>
      <c r="J81" s="55" t="s">
        <v>133</v>
      </c>
      <c r="K81" s="41">
        <v>96000000</v>
      </c>
      <c r="L81" s="42"/>
    </row>
    <row r="82" spans="1:12" ht="15">
      <c r="A82" s="54"/>
      <c r="B82" s="59"/>
      <c r="C82" s="42"/>
      <c r="D82" s="42"/>
      <c r="E82" s="1"/>
      <c r="F82" s="1"/>
      <c r="G82" s="161"/>
      <c r="H82" s="54">
        <v>6949</v>
      </c>
      <c r="I82" s="55" t="s">
        <v>134</v>
      </c>
      <c r="J82" s="55" t="s">
        <v>135</v>
      </c>
      <c r="K82" s="41">
        <v>99600000</v>
      </c>
      <c r="L82" s="42"/>
    </row>
    <row r="83" spans="1:12" ht="14.25">
      <c r="A83" s="252" t="s">
        <v>83</v>
      </c>
      <c r="B83" s="252"/>
      <c r="C83" s="56">
        <f>SUM(C84:C85)</f>
        <v>324000000</v>
      </c>
      <c r="D83" s="56">
        <f>SUM(D84:D85)</f>
        <v>30561230</v>
      </c>
      <c r="E83" s="1"/>
      <c r="F83" s="1"/>
      <c r="G83" s="133">
        <v>7000</v>
      </c>
      <c r="H83" s="252" t="s">
        <v>136</v>
      </c>
      <c r="I83" s="252"/>
      <c r="J83" s="53"/>
      <c r="K83" s="56">
        <f>SUM(K84:K88)</f>
        <v>159780000</v>
      </c>
      <c r="L83" s="56"/>
    </row>
    <row r="84" spans="1:12" ht="15">
      <c r="A84" s="54">
        <v>6501</v>
      </c>
      <c r="B84" s="55" t="s">
        <v>84</v>
      </c>
      <c r="C84" s="132">
        <v>264000000</v>
      </c>
      <c r="D84" s="132">
        <v>30245090</v>
      </c>
      <c r="E84" s="1"/>
      <c r="F84" s="1"/>
      <c r="G84" s="161"/>
      <c r="H84" s="54">
        <v>7001</v>
      </c>
      <c r="I84" s="55" t="s">
        <v>137</v>
      </c>
      <c r="J84" s="55" t="s">
        <v>138</v>
      </c>
      <c r="K84" s="42">
        <v>30000000</v>
      </c>
      <c r="L84" s="42"/>
    </row>
    <row r="85" spans="1:12" ht="15">
      <c r="A85" s="54">
        <v>6504</v>
      </c>
      <c r="B85" s="55" t="s">
        <v>86</v>
      </c>
      <c r="C85" s="132">
        <v>60000000</v>
      </c>
      <c r="D85" s="132">
        <v>316140</v>
      </c>
      <c r="E85" s="1"/>
      <c r="F85" s="1"/>
      <c r="G85" s="103"/>
      <c r="H85" s="54">
        <v>7004</v>
      </c>
      <c r="I85" s="59" t="s">
        <v>139</v>
      </c>
      <c r="J85" s="59" t="s">
        <v>140</v>
      </c>
      <c r="K85" s="44">
        <v>3780000</v>
      </c>
      <c r="L85" s="68"/>
    </row>
    <row r="86" spans="1:12" ht="15">
      <c r="A86" s="252" t="s">
        <v>88</v>
      </c>
      <c r="B86" s="252"/>
      <c r="C86" s="56">
        <f>SUM(C87:C91)</f>
        <v>270000000</v>
      </c>
      <c r="D86" s="56">
        <f>SUM(D87:D91)</f>
        <v>41132000</v>
      </c>
      <c r="E86" s="1"/>
      <c r="F86" s="1"/>
      <c r="G86" s="130"/>
      <c r="H86" s="54">
        <v>7049</v>
      </c>
      <c r="I86" s="55" t="s">
        <v>141</v>
      </c>
      <c r="J86" s="59" t="s">
        <v>142</v>
      </c>
      <c r="K86" s="43">
        <v>72000000</v>
      </c>
      <c r="L86" s="68"/>
    </row>
    <row r="87" spans="1:12" ht="15">
      <c r="A87" s="54">
        <v>6551</v>
      </c>
      <c r="B87" s="63" t="s">
        <v>89</v>
      </c>
      <c r="C87" s="132">
        <v>60000000</v>
      </c>
      <c r="D87" s="132">
        <v>10018000</v>
      </c>
      <c r="E87" s="1"/>
      <c r="F87" s="1"/>
      <c r="G87" s="130"/>
      <c r="H87" s="54">
        <v>7049</v>
      </c>
      <c r="I87" s="55" t="s">
        <v>50</v>
      </c>
      <c r="J87" s="59" t="s">
        <v>143</v>
      </c>
      <c r="K87" s="44">
        <v>18000000</v>
      </c>
      <c r="L87" s="68"/>
    </row>
    <row r="88" spans="1:12" ht="15">
      <c r="A88" s="54">
        <v>6552</v>
      </c>
      <c r="B88" s="63" t="s">
        <v>91</v>
      </c>
      <c r="C88" s="147">
        <v>60000000</v>
      </c>
      <c r="D88" s="147">
        <v>19250000</v>
      </c>
      <c r="E88" s="1"/>
      <c r="F88" s="128"/>
      <c r="G88" s="161"/>
      <c r="H88" s="54">
        <v>7049</v>
      </c>
      <c r="I88" s="55" t="s">
        <v>144</v>
      </c>
      <c r="J88" s="55" t="s">
        <v>145</v>
      </c>
      <c r="K88" s="45">
        <v>36000000</v>
      </c>
      <c r="L88" s="42"/>
    </row>
    <row r="89" spans="1:12" ht="16.5">
      <c r="A89" s="54">
        <v>6552</v>
      </c>
      <c r="B89" s="63" t="s">
        <v>305</v>
      </c>
      <c r="C89" s="67">
        <v>90000000</v>
      </c>
      <c r="D89" s="67"/>
      <c r="E89" s="1"/>
      <c r="F89" s="128"/>
      <c r="G89" s="161"/>
      <c r="H89" s="54"/>
      <c r="I89" s="55"/>
      <c r="J89" s="55"/>
      <c r="K89" s="45"/>
      <c r="L89" s="42"/>
    </row>
    <row r="90" spans="1:12" ht="16.5">
      <c r="A90" s="54">
        <v>6552</v>
      </c>
      <c r="B90" s="148" t="s">
        <v>306</v>
      </c>
      <c r="C90" s="67">
        <v>30000000</v>
      </c>
      <c r="D90" s="67"/>
      <c r="E90" s="1"/>
      <c r="F90" s="10"/>
      <c r="G90" s="133">
        <v>7050</v>
      </c>
      <c r="H90" s="252" t="s">
        <v>146</v>
      </c>
      <c r="I90" s="252"/>
      <c r="J90" s="53"/>
      <c r="K90" s="56">
        <v>10000000</v>
      </c>
      <c r="L90" s="56"/>
    </row>
    <row r="91" spans="1:12" ht="37.5" customHeight="1">
      <c r="A91" s="54">
        <v>6599</v>
      </c>
      <c r="B91" s="63" t="s">
        <v>95</v>
      </c>
      <c r="C91" s="132">
        <v>30000000</v>
      </c>
      <c r="D91" s="132">
        <v>11864000</v>
      </c>
      <c r="E91" s="1"/>
      <c r="F91" s="1"/>
      <c r="G91" s="161"/>
      <c r="H91" s="54">
        <v>7053</v>
      </c>
      <c r="I91" s="70" t="s">
        <v>147</v>
      </c>
      <c r="J91" s="70" t="s">
        <v>148</v>
      </c>
      <c r="K91" s="42">
        <v>10000000</v>
      </c>
      <c r="L91" s="42"/>
    </row>
    <row r="92" spans="1:12" ht="14.25">
      <c r="A92" s="252" t="s">
        <v>97</v>
      </c>
      <c r="B92" s="252"/>
      <c r="C92" s="56">
        <f>SUM(C93:C95)</f>
        <v>15216000</v>
      </c>
      <c r="D92" s="56">
        <f>SUM(D93:D95)</f>
        <v>2970000</v>
      </c>
      <c r="E92" s="1"/>
      <c r="F92" s="1"/>
      <c r="G92" s="255" t="s">
        <v>149</v>
      </c>
      <c r="H92" s="256"/>
      <c r="I92" s="256"/>
      <c r="J92" s="71"/>
      <c r="K92" s="72">
        <f>SUM(K93:K99)</f>
        <v>79666000</v>
      </c>
      <c r="L92" s="61"/>
    </row>
    <row r="93" spans="1:12" ht="15">
      <c r="A93" s="54">
        <v>6601</v>
      </c>
      <c r="B93" s="63" t="s">
        <v>98</v>
      </c>
      <c r="C93" s="132">
        <v>3600000</v>
      </c>
      <c r="D93" s="132">
        <v>66000</v>
      </c>
      <c r="E93" s="1"/>
      <c r="F93" s="1"/>
      <c r="G93" s="133">
        <v>7750</v>
      </c>
      <c r="H93" s="54"/>
      <c r="I93" s="69" t="s">
        <v>50</v>
      </c>
      <c r="J93" s="69"/>
      <c r="K93" s="73"/>
      <c r="L93" s="42"/>
    </row>
    <row r="94" spans="1:12" ht="15">
      <c r="A94" s="54">
        <v>6605</v>
      </c>
      <c r="B94" s="63" t="s">
        <v>100</v>
      </c>
      <c r="C94" s="132">
        <v>6816000</v>
      </c>
      <c r="D94" s="132">
        <v>1704000</v>
      </c>
      <c r="E94" s="1"/>
      <c r="F94" s="1"/>
      <c r="G94" s="133"/>
      <c r="H94" s="54">
        <v>7756</v>
      </c>
      <c r="I94" s="46" t="s">
        <v>47</v>
      </c>
      <c r="J94" s="46" t="s">
        <v>150</v>
      </c>
      <c r="K94" s="42">
        <v>1800000</v>
      </c>
      <c r="L94" s="42"/>
    </row>
    <row r="95" spans="1:12" ht="15">
      <c r="A95" s="54">
        <v>6618</v>
      </c>
      <c r="B95" s="63" t="s">
        <v>102</v>
      </c>
      <c r="C95" s="132">
        <v>4800000</v>
      </c>
      <c r="D95" s="132">
        <v>1200000</v>
      </c>
      <c r="E95" s="1"/>
      <c r="F95" s="1"/>
      <c r="G95" s="133"/>
      <c r="H95" s="54">
        <v>7761</v>
      </c>
      <c r="I95" s="46" t="s">
        <v>48</v>
      </c>
      <c r="J95" s="46" t="s">
        <v>151</v>
      </c>
      <c r="K95" s="42">
        <v>6000000</v>
      </c>
      <c r="L95" s="42"/>
    </row>
    <row r="96" spans="1:12" ht="15">
      <c r="A96" s="252" t="s">
        <v>104</v>
      </c>
      <c r="B96" s="252"/>
      <c r="C96" s="56">
        <f>SUM(C97:C98)</f>
        <v>0</v>
      </c>
      <c r="D96" s="56">
        <f>SUM(D97:D98)</f>
        <v>0</v>
      </c>
      <c r="E96" s="2"/>
      <c r="F96" s="2"/>
      <c r="G96" s="130"/>
      <c r="H96" s="54">
        <v>7764</v>
      </c>
      <c r="I96" s="46" t="s">
        <v>49</v>
      </c>
      <c r="J96" s="46" t="s">
        <v>152</v>
      </c>
      <c r="K96" s="43">
        <v>13600000</v>
      </c>
      <c r="L96" s="68"/>
    </row>
    <row r="97" spans="1:12" ht="15">
      <c r="A97" s="54">
        <v>6657</v>
      </c>
      <c r="B97" s="63" t="s">
        <v>105</v>
      </c>
      <c r="C97" s="132"/>
      <c r="D97" s="132"/>
      <c r="E97" s="1"/>
      <c r="F97" s="1"/>
      <c r="G97" s="130"/>
      <c r="H97" s="54">
        <v>7764</v>
      </c>
      <c r="I97" s="46" t="s">
        <v>49</v>
      </c>
      <c r="J97" s="46" t="s">
        <v>153</v>
      </c>
      <c r="K97" s="43">
        <v>22266000</v>
      </c>
      <c r="L97" s="68"/>
    </row>
    <row r="98" spans="1:12" s="3" customFormat="1" ht="15">
      <c r="A98" s="54">
        <v>6699</v>
      </c>
      <c r="B98" s="55" t="s">
        <v>106</v>
      </c>
      <c r="C98" s="132"/>
      <c r="D98" s="132"/>
      <c r="E98" s="1"/>
      <c r="F98" s="1"/>
      <c r="G98" s="103"/>
      <c r="H98" s="54">
        <v>7799</v>
      </c>
      <c r="I98" s="46" t="s">
        <v>50</v>
      </c>
      <c r="J98" s="46" t="s">
        <v>154</v>
      </c>
      <c r="K98" s="44">
        <v>30000000</v>
      </c>
      <c r="L98" s="68"/>
    </row>
    <row r="99" spans="1:12" ht="15">
      <c r="A99" s="252" t="s">
        <v>107</v>
      </c>
      <c r="B99" s="252"/>
      <c r="C99" s="56">
        <f>SUM(C100:C103)</f>
        <v>78948000</v>
      </c>
      <c r="D99" s="56">
        <f>SUM(D100:D103)</f>
        <v>4305200</v>
      </c>
      <c r="E99" s="1"/>
      <c r="F99" s="1"/>
      <c r="G99" s="130"/>
      <c r="H99" s="54">
        <v>7799</v>
      </c>
      <c r="I99" s="46" t="s">
        <v>50</v>
      </c>
      <c r="J99" s="46" t="s">
        <v>155</v>
      </c>
      <c r="K99" s="43">
        <v>6000000</v>
      </c>
      <c r="L99" s="68"/>
    </row>
    <row r="100" spans="1:12" ht="15">
      <c r="A100" s="54">
        <v>6701</v>
      </c>
      <c r="B100" s="55" t="s">
        <v>108</v>
      </c>
      <c r="C100" s="132">
        <v>30000000</v>
      </c>
      <c r="D100" s="132">
        <v>65200</v>
      </c>
      <c r="E100" s="1"/>
      <c r="F100" s="1"/>
      <c r="G100" s="130">
        <v>7850</v>
      </c>
      <c r="H100" s="54"/>
      <c r="I100" s="74" t="s">
        <v>156</v>
      </c>
      <c r="J100" s="46"/>
      <c r="K100" s="56">
        <v>600000</v>
      </c>
      <c r="L100" s="68"/>
    </row>
    <row r="101" spans="1:12" ht="15">
      <c r="A101" s="54">
        <v>6702</v>
      </c>
      <c r="B101" s="55" t="s">
        <v>110</v>
      </c>
      <c r="C101" s="132">
        <v>30948000</v>
      </c>
      <c r="D101" s="132">
        <v>1240000</v>
      </c>
      <c r="E101" s="2"/>
      <c r="F101" s="2"/>
      <c r="G101" s="130"/>
      <c r="H101" s="54">
        <v>7899</v>
      </c>
      <c r="I101" s="46" t="s">
        <v>157</v>
      </c>
      <c r="J101" s="46" t="s">
        <v>158</v>
      </c>
      <c r="K101" s="42">
        <v>600000</v>
      </c>
      <c r="L101" s="68"/>
    </row>
    <row r="102" spans="1:12" ht="15">
      <c r="A102" s="54">
        <v>6703</v>
      </c>
      <c r="B102" s="55" t="s">
        <v>112</v>
      </c>
      <c r="C102" s="132">
        <v>6000000</v>
      </c>
      <c r="D102" s="132"/>
      <c r="E102" s="1"/>
      <c r="F102" s="1"/>
      <c r="G102" s="133" t="s">
        <v>159</v>
      </c>
      <c r="H102" s="54"/>
      <c r="I102" s="75" t="s">
        <v>160</v>
      </c>
      <c r="J102" s="46"/>
      <c r="K102" s="76" t="s">
        <v>161</v>
      </c>
      <c r="L102" s="68"/>
    </row>
    <row r="103" spans="1:12" s="3" customFormat="1" ht="15">
      <c r="A103" s="54">
        <v>6704</v>
      </c>
      <c r="B103" s="63" t="s">
        <v>114</v>
      </c>
      <c r="C103" s="132">
        <v>12000000</v>
      </c>
      <c r="D103" s="132">
        <v>3000000</v>
      </c>
      <c r="E103" s="1"/>
      <c r="F103" s="1"/>
      <c r="G103" s="133"/>
      <c r="H103" s="54"/>
      <c r="I103" s="69" t="s">
        <v>162</v>
      </c>
      <c r="J103" s="69" t="s">
        <v>163</v>
      </c>
      <c r="K103" s="77">
        <v>98000000</v>
      </c>
      <c r="L103" s="42"/>
    </row>
    <row r="104" spans="1:12" ht="15.75">
      <c r="A104" s="252" t="s">
        <v>116</v>
      </c>
      <c r="B104" s="252"/>
      <c r="C104" s="56">
        <f>SUM(C105:C108)</f>
        <v>318000000</v>
      </c>
      <c r="D104" s="56">
        <f>SUM(D105:D108)</f>
        <v>117837000</v>
      </c>
      <c r="E104" s="1"/>
      <c r="F104" s="1"/>
      <c r="G104" s="162"/>
      <c r="H104" s="78"/>
      <c r="I104" s="78" t="s">
        <v>164</v>
      </c>
      <c r="J104" s="78"/>
      <c r="K104" s="79">
        <f>K12+K103</f>
        <v>98000000</v>
      </c>
      <c r="L104" s="80"/>
    </row>
    <row r="105" spans="1:12" ht="15.75">
      <c r="A105" s="54">
        <v>6751</v>
      </c>
      <c r="B105" s="55" t="s">
        <v>117</v>
      </c>
      <c r="C105" s="42">
        <v>18000000</v>
      </c>
      <c r="D105" s="42">
        <v>7300000</v>
      </c>
      <c r="E105" s="1"/>
      <c r="F105" s="1"/>
      <c r="G105" s="162"/>
      <c r="H105" s="78"/>
      <c r="I105" s="78" t="s">
        <v>165</v>
      </c>
      <c r="J105" s="78"/>
      <c r="K105" s="79">
        <f>K8+K104</f>
        <v>98000000</v>
      </c>
      <c r="L105" s="80"/>
    </row>
    <row r="106" spans="1:11" ht="21" customHeight="1">
      <c r="A106" s="54">
        <v>6757</v>
      </c>
      <c r="B106" s="59" t="s">
        <v>119</v>
      </c>
      <c r="C106" s="43">
        <v>40000000</v>
      </c>
      <c r="D106" s="43">
        <v>78897000</v>
      </c>
      <c r="E106" s="1"/>
      <c r="F106" s="1"/>
      <c r="G106" s="163"/>
      <c r="H106" s="82"/>
      <c r="I106" s="81" t="s">
        <v>166</v>
      </c>
      <c r="J106" s="81" t="s">
        <v>167</v>
      </c>
      <c r="K106" s="83">
        <f>SUM(K107:K127)</f>
        <v>104000000</v>
      </c>
    </row>
    <row r="107" spans="1:11" ht="21.75" customHeight="1">
      <c r="A107" s="54">
        <v>6758</v>
      </c>
      <c r="B107" s="59" t="s">
        <v>122</v>
      </c>
      <c r="C107" s="43">
        <v>30000000</v>
      </c>
      <c r="D107" s="43"/>
      <c r="E107" s="1"/>
      <c r="F107" s="1"/>
      <c r="G107" s="163">
        <v>6550</v>
      </c>
      <c r="H107" s="54">
        <v>6599</v>
      </c>
      <c r="I107" s="84" t="s">
        <v>168</v>
      </c>
      <c r="J107" s="84" t="s">
        <v>169</v>
      </c>
      <c r="K107" s="41">
        <v>11200000</v>
      </c>
    </row>
    <row r="108" spans="1:11" ht="22.5" customHeight="1">
      <c r="A108" s="131">
        <v>6799</v>
      </c>
      <c r="B108" s="149" t="s">
        <v>307</v>
      </c>
      <c r="C108" s="42">
        <v>230000000</v>
      </c>
      <c r="D108" s="42">
        <v>31640000</v>
      </c>
      <c r="E108" s="1"/>
      <c r="F108" s="1"/>
      <c r="G108" s="163"/>
      <c r="H108" s="54">
        <v>6599</v>
      </c>
      <c r="I108" s="85" t="s">
        <v>170</v>
      </c>
      <c r="J108" s="84" t="s">
        <v>171</v>
      </c>
      <c r="K108" s="41">
        <v>399000</v>
      </c>
    </row>
    <row r="109" spans="1:11" ht="19.5" customHeight="1">
      <c r="A109" s="252" t="s">
        <v>126</v>
      </c>
      <c r="B109" s="252"/>
      <c r="C109" s="56">
        <f>SUM(C110:C114)</f>
        <v>323600000</v>
      </c>
      <c r="D109" s="56">
        <f>SUM(D110:D114)</f>
        <v>22625000</v>
      </c>
      <c r="E109" s="1"/>
      <c r="F109" s="127"/>
      <c r="G109" s="163"/>
      <c r="H109" s="54">
        <v>6599</v>
      </c>
      <c r="I109" s="85" t="s">
        <v>172</v>
      </c>
      <c r="J109" s="84" t="s">
        <v>173</v>
      </c>
      <c r="K109" s="41">
        <v>15000000</v>
      </c>
    </row>
    <row r="110" spans="1:11" ht="21" customHeight="1">
      <c r="A110" s="54">
        <v>6907</v>
      </c>
      <c r="B110" s="55" t="s">
        <v>127</v>
      </c>
      <c r="C110" s="132">
        <v>40000000</v>
      </c>
      <c r="D110" s="132"/>
      <c r="E110" s="1"/>
      <c r="F110" s="1"/>
      <c r="G110" s="163"/>
      <c r="H110" s="54">
        <v>6599</v>
      </c>
      <c r="I110" s="85" t="s">
        <v>174</v>
      </c>
      <c r="J110" s="84" t="s">
        <v>175</v>
      </c>
      <c r="K110" s="41">
        <v>4000000</v>
      </c>
    </row>
    <row r="111" spans="1:11" ht="19.5" customHeight="1">
      <c r="A111" s="54">
        <v>6912</v>
      </c>
      <c r="B111" s="55" t="s">
        <v>129</v>
      </c>
      <c r="C111" s="132">
        <v>22000000</v>
      </c>
      <c r="D111" s="132"/>
      <c r="E111" s="1"/>
      <c r="F111" s="1"/>
      <c r="G111" s="163"/>
      <c r="H111" s="54">
        <v>6599</v>
      </c>
      <c r="I111" s="85" t="s">
        <v>176</v>
      </c>
      <c r="J111" s="84" t="s">
        <v>177</v>
      </c>
      <c r="K111" s="41">
        <v>2000000</v>
      </c>
    </row>
    <row r="112" spans="1:11" ht="19.5" customHeight="1">
      <c r="A112" s="54">
        <v>6913</v>
      </c>
      <c r="B112" s="55" t="s">
        <v>131</v>
      </c>
      <c r="C112" s="132">
        <v>30000000</v>
      </c>
      <c r="D112" s="132"/>
      <c r="E112" s="1"/>
      <c r="F112" s="1"/>
      <c r="G112" s="163"/>
      <c r="H112" s="54">
        <v>6599</v>
      </c>
      <c r="I112" s="85" t="s">
        <v>178</v>
      </c>
      <c r="J112" s="84" t="s">
        <v>179</v>
      </c>
      <c r="K112" s="41">
        <v>2000000</v>
      </c>
    </row>
    <row r="113" spans="1:11" ht="19.5" customHeight="1">
      <c r="A113" s="54">
        <v>6921</v>
      </c>
      <c r="B113" s="55" t="s">
        <v>132</v>
      </c>
      <c r="C113" s="132">
        <v>116000000</v>
      </c>
      <c r="D113" s="132"/>
      <c r="E113" s="1"/>
      <c r="F113" s="1"/>
      <c r="G113" s="163"/>
      <c r="H113" s="54">
        <v>6599</v>
      </c>
      <c r="I113" s="85" t="s">
        <v>180</v>
      </c>
      <c r="J113" s="84" t="s">
        <v>181</v>
      </c>
      <c r="K113" s="41">
        <v>750000</v>
      </c>
    </row>
    <row r="114" spans="1:11" ht="19.5" customHeight="1">
      <c r="A114" s="54">
        <v>6949</v>
      </c>
      <c r="B114" s="55" t="s">
        <v>134</v>
      </c>
      <c r="C114" s="132">
        <f>99600000+16000000</f>
        <v>115600000</v>
      </c>
      <c r="D114" s="132">
        <v>22625000</v>
      </c>
      <c r="E114" s="10"/>
      <c r="F114" s="128"/>
      <c r="G114" s="163"/>
      <c r="H114" s="54">
        <v>6599</v>
      </c>
      <c r="I114" s="85" t="s">
        <v>182</v>
      </c>
      <c r="J114" s="84" t="s">
        <v>183</v>
      </c>
      <c r="K114" s="41">
        <v>2250000</v>
      </c>
    </row>
    <row r="115" spans="1:11" ht="19.5" customHeight="1">
      <c r="A115" s="252" t="s">
        <v>136</v>
      </c>
      <c r="B115" s="252"/>
      <c r="C115" s="56">
        <f>SUM(C116:C120)</f>
        <v>189780000</v>
      </c>
      <c r="D115" s="56">
        <f>SUM(D116:D120)</f>
        <v>44050000</v>
      </c>
      <c r="E115" s="1"/>
      <c r="F115" s="1"/>
      <c r="G115" s="163"/>
      <c r="H115" s="54">
        <v>6599</v>
      </c>
      <c r="I115" s="85" t="s">
        <v>184</v>
      </c>
      <c r="J115" s="84" t="s">
        <v>185</v>
      </c>
      <c r="K115" s="41">
        <v>1000000</v>
      </c>
    </row>
    <row r="116" spans="1:11" ht="19.5" customHeight="1">
      <c r="A116" s="54">
        <v>7001</v>
      </c>
      <c r="B116" s="55" t="s">
        <v>137</v>
      </c>
      <c r="C116" s="42">
        <v>60000000</v>
      </c>
      <c r="D116" s="42">
        <v>16330000</v>
      </c>
      <c r="E116" s="1"/>
      <c r="F116" s="1"/>
      <c r="G116" s="163"/>
      <c r="H116" s="54"/>
      <c r="I116" s="85"/>
      <c r="J116" s="84"/>
      <c r="K116" s="41"/>
    </row>
    <row r="117" spans="1:11" ht="19.5" customHeight="1">
      <c r="A117" s="54">
        <v>7004</v>
      </c>
      <c r="B117" s="59" t="s">
        <v>308</v>
      </c>
      <c r="C117" s="44">
        <v>3780000</v>
      </c>
      <c r="D117" s="44"/>
      <c r="E117" s="1"/>
      <c r="F117" s="1"/>
      <c r="G117" s="163"/>
      <c r="H117" s="54"/>
      <c r="I117" s="85"/>
      <c r="J117" s="84"/>
      <c r="K117" s="41"/>
    </row>
    <row r="118" spans="1:11" ht="19.5" customHeight="1">
      <c r="A118" s="54">
        <v>7049</v>
      </c>
      <c r="B118" s="55" t="s">
        <v>309</v>
      </c>
      <c r="C118" s="43">
        <v>72000000</v>
      </c>
      <c r="D118" s="43"/>
      <c r="E118" s="1"/>
      <c r="F118" s="1"/>
      <c r="G118" s="163"/>
      <c r="H118" s="54"/>
      <c r="I118" s="85"/>
      <c r="J118" s="84"/>
      <c r="K118" s="41"/>
    </row>
    <row r="119" spans="1:11" ht="19.5" customHeight="1">
      <c r="A119" s="54">
        <v>7049</v>
      </c>
      <c r="B119" s="55" t="s">
        <v>50</v>
      </c>
      <c r="C119" s="44">
        <v>18000000</v>
      </c>
      <c r="D119" s="44"/>
      <c r="E119" s="1"/>
      <c r="F119" s="1"/>
      <c r="G119" s="163"/>
      <c r="H119" s="54"/>
      <c r="I119" s="85"/>
      <c r="J119" s="84"/>
      <c r="K119" s="41"/>
    </row>
    <row r="120" spans="1:11" ht="27.75" customHeight="1">
      <c r="A120" s="54">
        <v>7049</v>
      </c>
      <c r="B120" s="55" t="s">
        <v>144</v>
      </c>
      <c r="C120" s="45">
        <v>36000000</v>
      </c>
      <c r="D120" s="44">
        <v>27720000</v>
      </c>
      <c r="E120" s="1"/>
      <c r="F120" s="1"/>
      <c r="G120" s="163"/>
      <c r="H120" s="54"/>
      <c r="I120" s="85"/>
      <c r="J120" s="84"/>
      <c r="K120" s="41"/>
    </row>
    <row r="121" spans="1:11" ht="19.5" customHeight="1">
      <c r="A121" s="252" t="s">
        <v>146</v>
      </c>
      <c r="B121" s="252"/>
      <c r="C121" s="56">
        <v>10000000</v>
      </c>
      <c r="D121" s="56">
        <f>D122</f>
        <v>5600000</v>
      </c>
      <c r="E121" s="1"/>
      <c r="F121" s="1"/>
      <c r="G121" s="163"/>
      <c r="H121" s="54"/>
      <c r="I121" s="85"/>
      <c r="J121" s="84"/>
      <c r="K121" s="41"/>
    </row>
    <row r="122" spans="1:11" ht="42" customHeight="1">
      <c r="A122" s="54">
        <v>7053</v>
      </c>
      <c r="B122" s="70" t="s">
        <v>147</v>
      </c>
      <c r="C122" s="42">
        <v>10000000</v>
      </c>
      <c r="D122" s="42">
        <v>5600000</v>
      </c>
      <c r="E122" s="1"/>
      <c r="F122" s="1"/>
      <c r="G122" s="163"/>
      <c r="H122" s="54">
        <v>6599</v>
      </c>
      <c r="I122" s="59" t="s">
        <v>186</v>
      </c>
      <c r="J122" s="59" t="s">
        <v>187</v>
      </c>
      <c r="K122" s="68">
        <v>13400000</v>
      </c>
    </row>
    <row r="123" spans="1:11" ht="18.75" customHeight="1">
      <c r="A123" s="154"/>
      <c r="B123" s="154" t="s">
        <v>149</v>
      </c>
      <c r="C123" s="72">
        <f>SUM(C124:C130)</f>
        <v>97666000</v>
      </c>
      <c r="D123" s="72">
        <f>SUM(D124:D130)</f>
        <v>10081200</v>
      </c>
      <c r="E123" s="1"/>
      <c r="F123" s="1"/>
      <c r="G123" s="163"/>
      <c r="H123" s="54">
        <v>6599</v>
      </c>
      <c r="I123" s="59" t="s">
        <v>188</v>
      </c>
      <c r="J123" s="59" t="s">
        <v>189</v>
      </c>
      <c r="K123" s="68">
        <v>3720000</v>
      </c>
    </row>
    <row r="124" spans="1:11" ht="38.25" customHeight="1">
      <c r="A124" s="54"/>
      <c r="B124" s="69" t="s">
        <v>50</v>
      </c>
      <c r="C124" s="73"/>
      <c r="D124" s="73"/>
      <c r="E124" s="1"/>
      <c r="F124" s="1"/>
      <c r="G124" s="163"/>
      <c r="H124" s="54">
        <v>6599</v>
      </c>
      <c r="I124" s="59" t="s">
        <v>190</v>
      </c>
      <c r="J124" s="59" t="s">
        <v>191</v>
      </c>
      <c r="K124" s="68">
        <v>14400000</v>
      </c>
    </row>
    <row r="125" spans="1:11" ht="18.75" customHeight="1">
      <c r="A125" s="54">
        <v>7756</v>
      </c>
      <c r="B125" s="46" t="s">
        <v>47</v>
      </c>
      <c r="C125" s="42">
        <v>2000000</v>
      </c>
      <c r="D125" s="42">
        <v>431200</v>
      </c>
      <c r="E125" s="1"/>
      <c r="F125" s="1"/>
      <c r="G125" s="163"/>
      <c r="H125" s="54">
        <v>6599</v>
      </c>
      <c r="I125" s="84" t="s">
        <v>192</v>
      </c>
      <c r="J125" s="86" t="s">
        <v>193</v>
      </c>
      <c r="K125" s="45">
        <v>6800000</v>
      </c>
    </row>
    <row r="126" spans="1:11" ht="18.75" customHeight="1">
      <c r="A126" s="54">
        <v>7761</v>
      </c>
      <c r="B126" s="46" t="s">
        <v>48</v>
      </c>
      <c r="C126" s="42">
        <v>6000000</v>
      </c>
      <c r="D126" s="42"/>
      <c r="E126" s="1"/>
      <c r="F126" s="1"/>
      <c r="G126" s="163"/>
      <c r="H126" s="54">
        <v>6599</v>
      </c>
      <c r="I126" s="84" t="s">
        <v>194</v>
      </c>
      <c r="J126" s="86"/>
      <c r="K126" s="45">
        <v>1081000</v>
      </c>
    </row>
    <row r="127" spans="1:11" ht="21" customHeight="1">
      <c r="A127" s="54">
        <v>7764</v>
      </c>
      <c r="B127" s="46" t="s">
        <v>310</v>
      </c>
      <c r="C127" s="43">
        <f>400000*36</f>
        <v>14400000</v>
      </c>
      <c r="D127" s="43"/>
      <c r="E127" s="1"/>
      <c r="F127" s="1"/>
      <c r="G127" s="163"/>
      <c r="H127" s="54">
        <v>6599</v>
      </c>
      <c r="I127" s="85" t="s">
        <v>195</v>
      </c>
      <c r="J127" s="86" t="s">
        <v>196</v>
      </c>
      <c r="K127" s="67">
        <v>26000000</v>
      </c>
    </row>
    <row r="128" spans="1:11" ht="21" customHeight="1">
      <c r="A128" s="54">
        <v>7764</v>
      </c>
      <c r="B128" s="46" t="s">
        <v>311</v>
      </c>
      <c r="C128" s="43">
        <v>30266000</v>
      </c>
      <c r="D128" s="43"/>
      <c r="E128" s="1"/>
      <c r="F128" s="1"/>
      <c r="G128" s="163"/>
      <c r="H128" s="82"/>
      <c r="I128" s="81" t="s">
        <v>197</v>
      </c>
      <c r="J128" s="81"/>
      <c r="K128" s="83">
        <f>K129+K132</f>
        <v>513991192</v>
      </c>
    </row>
    <row r="129" spans="1:11" ht="85.5" customHeight="1">
      <c r="A129" s="54">
        <v>7799</v>
      </c>
      <c r="B129" s="46" t="s">
        <v>312</v>
      </c>
      <c r="C129" s="44">
        <v>30000000</v>
      </c>
      <c r="D129" s="44">
        <v>9650000</v>
      </c>
      <c r="E129" s="1"/>
      <c r="F129" s="1"/>
      <c r="G129" s="129">
        <v>6750</v>
      </c>
      <c r="H129" s="250" t="s">
        <v>198</v>
      </c>
      <c r="I129" s="251"/>
      <c r="J129" s="50"/>
      <c r="K129" s="52">
        <f>SUM(K130:K131)</f>
        <v>416187200</v>
      </c>
    </row>
    <row r="130" spans="1:11" ht="18" customHeight="1">
      <c r="A130" s="54">
        <v>7799</v>
      </c>
      <c r="B130" s="46" t="s">
        <v>50</v>
      </c>
      <c r="C130" s="43">
        <v>15000000</v>
      </c>
      <c r="D130" s="43"/>
      <c r="E130" s="1"/>
      <c r="F130" s="1"/>
      <c r="G130" s="133"/>
      <c r="H130" s="54">
        <v>6757</v>
      </c>
      <c r="I130" s="55" t="s">
        <v>199</v>
      </c>
      <c r="J130" s="55" t="s">
        <v>200</v>
      </c>
      <c r="K130" s="40">
        <v>416187200</v>
      </c>
    </row>
    <row r="131" spans="1:11" ht="18" customHeight="1">
      <c r="A131" s="54"/>
      <c r="B131" s="74" t="s">
        <v>156</v>
      </c>
      <c r="C131" s="56">
        <v>600000</v>
      </c>
      <c r="D131" s="56">
        <v>600000</v>
      </c>
      <c r="E131" s="1"/>
      <c r="F131" s="1"/>
      <c r="G131" s="133"/>
      <c r="H131" s="54"/>
      <c r="I131" s="55"/>
      <c r="J131" s="55"/>
      <c r="K131" s="40"/>
    </row>
    <row r="132" spans="1:11" ht="18" customHeight="1">
      <c r="A132" s="54">
        <v>7899</v>
      </c>
      <c r="B132" s="46" t="s">
        <v>157</v>
      </c>
      <c r="C132" s="42">
        <v>600000</v>
      </c>
      <c r="D132" s="42"/>
      <c r="E132" s="1"/>
      <c r="F132" s="1"/>
      <c r="G132" s="129">
        <v>6750</v>
      </c>
      <c r="H132" s="250" t="s">
        <v>201</v>
      </c>
      <c r="I132" s="251"/>
      <c r="J132" s="50"/>
      <c r="K132" s="57">
        <f>SUM(K133:K136)</f>
        <v>97803992</v>
      </c>
    </row>
    <row r="133" spans="1:11" ht="18.75" customHeight="1">
      <c r="A133" s="54"/>
      <c r="B133" s="150" t="s">
        <v>278</v>
      </c>
      <c r="C133" s="56">
        <f>C52</f>
        <v>6841177210.18</v>
      </c>
      <c r="D133" s="158">
        <f>D52</f>
        <v>1508192699</v>
      </c>
      <c r="E133" s="1"/>
      <c r="F133" s="1"/>
      <c r="G133" s="133"/>
      <c r="H133" s="54">
        <v>6301</v>
      </c>
      <c r="I133" s="59" t="s">
        <v>68</v>
      </c>
      <c r="J133" s="59" t="s">
        <v>69</v>
      </c>
      <c r="K133" s="40">
        <f>K129*17.5%</f>
        <v>72832760</v>
      </c>
    </row>
    <row r="134" spans="1:11" ht="19.5" customHeight="1">
      <c r="A134" s="99"/>
      <c r="B134" s="151" t="s">
        <v>160</v>
      </c>
      <c r="C134" s="76"/>
      <c r="D134" s="76"/>
      <c r="E134" s="1"/>
      <c r="F134" s="1"/>
      <c r="G134" s="133"/>
      <c r="H134" s="54">
        <v>6302</v>
      </c>
      <c r="I134" s="59" t="s">
        <v>202</v>
      </c>
      <c r="J134" s="59" t="s">
        <v>71</v>
      </c>
      <c r="K134" s="40">
        <f>K129*3%</f>
        <v>12485616</v>
      </c>
    </row>
    <row r="135" spans="1:11" ht="20.25" customHeight="1">
      <c r="A135" s="54"/>
      <c r="B135" s="75"/>
      <c r="C135" s="76"/>
      <c r="D135" s="76"/>
      <c r="E135" s="1"/>
      <c r="F135" s="1"/>
      <c r="G135" s="133"/>
      <c r="H135" s="54">
        <v>6303</v>
      </c>
      <c r="I135" s="59" t="s">
        <v>203</v>
      </c>
      <c r="J135" s="59" t="s">
        <v>73</v>
      </c>
      <c r="K135" s="40">
        <f>K129*2%</f>
        <v>8323744</v>
      </c>
    </row>
    <row r="136" spans="1:11" ht="20.25" customHeight="1">
      <c r="A136" s="54"/>
      <c r="B136" s="75"/>
      <c r="C136" s="76"/>
      <c r="D136" s="76"/>
      <c r="E136" s="10"/>
      <c r="F136" s="127"/>
      <c r="G136" s="133"/>
      <c r="H136" s="54">
        <v>6304</v>
      </c>
      <c r="I136" s="87" t="s">
        <v>204</v>
      </c>
      <c r="J136" s="59" t="s">
        <v>75</v>
      </c>
      <c r="K136" s="40">
        <f>K130*1%</f>
        <v>4161872</v>
      </c>
    </row>
    <row r="137" spans="1:11" ht="15">
      <c r="A137" s="54"/>
      <c r="B137" s="69" t="s">
        <v>162</v>
      </c>
      <c r="C137" s="77">
        <v>129827894</v>
      </c>
      <c r="D137" s="77"/>
      <c r="E137" s="1"/>
      <c r="F137" s="1"/>
      <c r="G137" s="130">
        <v>6150</v>
      </c>
      <c r="H137" s="54"/>
      <c r="I137" s="88" t="s">
        <v>205</v>
      </c>
      <c r="J137" s="88"/>
      <c r="K137" s="89">
        <f>K154</f>
        <v>13500000</v>
      </c>
    </row>
    <row r="138" spans="1:11" ht="15">
      <c r="A138" s="54"/>
      <c r="B138" s="69" t="s">
        <v>313</v>
      </c>
      <c r="C138" s="77">
        <v>3600000</v>
      </c>
      <c r="D138" s="77"/>
      <c r="E138" s="1"/>
      <c r="F138" s="1"/>
      <c r="G138" s="130"/>
      <c r="H138" s="54"/>
      <c r="I138" s="88"/>
      <c r="J138" s="88"/>
      <c r="K138" s="89"/>
    </row>
    <row r="139" spans="1:11" ht="15">
      <c r="A139" s="27"/>
      <c r="B139" s="155" t="s">
        <v>52</v>
      </c>
      <c r="C139" s="80">
        <f>SUM(C140:C140)</f>
        <v>41966400</v>
      </c>
      <c r="D139" s="80">
        <f>SUM(D140:D140)</f>
        <v>0</v>
      </c>
      <c r="E139" s="1"/>
      <c r="F139" s="1"/>
      <c r="G139" s="130"/>
      <c r="H139" s="54"/>
      <c r="I139" s="88"/>
      <c r="J139" s="88"/>
      <c r="K139" s="89"/>
    </row>
    <row r="140" spans="1:11" ht="15">
      <c r="A140" s="54">
        <v>6001</v>
      </c>
      <c r="B140" s="55" t="s">
        <v>284</v>
      </c>
      <c r="C140" s="40">
        <f>149.88*280000</f>
        <v>41966400</v>
      </c>
      <c r="D140" s="40"/>
      <c r="E140" s="1"/>
      <c r="F140" s="1"/>
      <c r="G140" s="130"/>
      <c r="H140" s="54"/>
      <c r="I140" s="88"/>
      <c r="J140" s="88"/>
      <c r="K140" s="89"/>
    </row>
    <row r="141" spans="1:11" ht="15">
      <c r="A141" s="252" t="s">
        <v>57</v>
      </c>
      <c r="B141" s="252"/>
      <c r="C141" s="56">
        <f>SUM(C142:C145)</f>
        <v>53373992</v>
      </c>
      <c r="D141" s="56">
        <f>SUM(D142:D145)</f>
        <v>0</v>
      </c>
      <c r="E141" s="1"/>
      <c r="F141" s="1"/>
      <c r="G141" s="130"/>
      <c r="H141" s="54"/>
      <c r="I141" s="88"/>
      <c r="J141" s="88"/>
      <c r="K141" s="89"/>
    </row>
    <row r="142" spans="1:11" ht="15">
      <c r="A142" s="54">
        <v>6101</v>
      </c>
      <c r="B142" s="46" t="s">
        <v>287</v>
      </c>
      <c r="C142" s="40">
        <f>3.6*280000*5</f>
        <v>5040000</v>
      </c>
      <c r="D142" s="40"/>
      <c r="E142" s="1"/>
      <c r="F142" s="1"/>
      <c r="G142" s="130"/>
      <c r="H142" s="54"/>
      <c r="I142" s="88"/>
      <c r="J142" s="88"/>
      <c r="K142" s="89"/>
    </row>
    <row r="143" spans="1:11" ht="15">
      <c r="A143" s="54">
        <v>6112</v>
      </c>
      <c r="B143" s="46" t="s">
        <v>289</v>
      </c>
      <c r="C143" s="40">
        <f>49.9994*280000*3</f>
        <v>41999496</v>
      </c>
      <c r="D143" s="40"/>
      <c r="E143" s="1"/>
      <c r="F143" s="1"/>
      <c r="G143" s="130"/>
      <c r="H143" s="54"/>
      <c r="I143" s="88"/>
      <c r="J143" s="88"/>
      <c r="K143" s="89"/>
    </row>
    <row r="144" spans="1:11" ht="15">
      <c r="A144" s="54">
        <v>6113</v>
      </c>
      <c r="B144" s="46" t="s">
        <v>291</v>
      </c>
      <c r="C144" s="40">
        <f>0.3*280000*12</f>
        <v>1008000</v>
      </c>
      <c r="D144" s="40"/>
      <c r="E144" s="1"/>
      <c r="F144" s="1"/>
      <c r="G144" s="130"/>
      <c r="H144" s="54"/>
      <c r="I144" s="88"/>
      <c r="J144" s="88"/>
      <c r="K144" s="89"/>
    </row>
    <row r="145" spans="1:11" ht="26.25">
      <c r="A145" s="54">
        <v>6115</v>
      </c>
      <c r="B145" s="146" t="s">
        <v>293</v>
      </c>
      <c r="C145" s="40">
        <f>(18.0488+0.9744)*280000</f>
        <v>5326496</v>
      </c>
      <c r="D145" s="40"/>
      <c r="E145" s="1"/>
      <c r="F145" s="1"/>
      <c r="G145" s="130"/>
      <c r="H145" s="54"/>
      <c r="I145" s="88"/>
      <c r="J145" s="88"/>
      <c r="K145" s="89"/>
    </row>
    <row r="146" spans="1:11" ht="15">
      <c r="A146" s="252" t="s">
        <v>294</v>
      </c>
      <c r="B146" s="252"/>
      <c r="C146" s="56">
        <f>SUM(C147:C150)</f>
        <v>12659607.559999999</v>
      </c>
      <c r="D146" s="56">
        <f>SUM(D147:D150)</f>
        <v>0</v>
      </c>
      <c r="E146" s="1"/>
      <c r="F146" s="1"/>
      <c r="G146" s="130"/>
      <c r="H146" s="54"/>
      <c r="I146" s="88"/>
      <c r="J146" s="88"/>
      <c r="K146" s="89"/>
    </row>
    <row r="147" spans="1:11" ht="15">
      <c r="A147" s="54">
        <v>6301</v>
      </c>
      <c r="B147" s="59" t="s">
        <v>299</v>
      </c>
      <c r="C147" s="40">
        <f>(C140+C142+C145)*17.5%</f>
        <v>9158256.799999999</v>
      </c>
      <c r="D147" s="40"/>
      <c r="E147" s="1"/>
      <c r="F147" s="1"/>
      <c r="G147" s="130"/>
      <c r="H147" s="54"/>
      <c r="I147" s="88"/>
      <c r="J147" s="88"/>
      <c r="K147" s="89"/>
    </row>
    <row r="148" spans="1:11" ht="15">
      <c r="A148" s="54">
        <v>6302</v>
      </c>
      <c r="B148" s="59" t="s">
        <v>300</v>
      </c>
      <c r="C148" s="40">
        <f>(C140+C142+C145)*3%</f>
        <v>1569986.88</v>
      </c>
      <c r="D148" s="40"/>
      <c r="E148" s="1"/>
      <c r="F148" s="1"/>
      <c r="G148" s="130"/>
      <c r="H148" s="54"/>
      <c r="I148" s="88"/>
      <c r="J148" s="88"/>
      <c r="K148" s="89"/>
    </row>
    <row r="149" spans="1:11" ht="15">
      <c r="A149" s="54">
        <v>6303</v>
      </c>
      <c r="B149" s="59" t="s">
        <v>301</v>
      </c>
      <c r="C149" s="40">
        <f>(C140+C142+C145)*2%</f>
        <v>1046657.92</v>
      </c>
      <c r="D149" s="40"/>
      <c r="E149" s="1"/>
      <c r="F149" s="1"/>
      <c r="G149" s="130"/>
      <c r="H149" s="54"/>
      <c r="I149" s="88"/>
      <c r="J149" s="88"/>
      <c r="K149" s="89"/>
    </row>
    <row r="150" spans="1:11" ht="15">
      <c r="A150" s="54">
        <v>6304</v>
      </c>
      <c r="B150" s="59" t="s">
        <v>302</v>
      </c>
      <c r="C150" s="40">
        <f>(C140+C142+C145)*1%+361377</f>
        <v>884705.96</v>
      </c>
      <c r="D150" s="40"/>
      <c r="E150" s="1"/>
      <c r="F150" s="1"/>
      <c r="G150" s="130"/>
      <c r="H150" s="54"/>
      <c r="I150" s="88"/>
      <c r="J150" s="88"/>
      <c r="K150" s="89"/>
    </row>
    <row r="151" spans="1:11" ht="19.5">
      <c r="A151" s="54"/>
      <c r="B151" s="152" t="s">
        <v>278</v>
      </c>
      <c r="C151" s="214">
        <f>C139+C141+C146</f>
        <v>107999999.56</v>
      </c>
      <c r="D151" s="153">
        <f>D139+D141+D146</f>
        <v>0</v>
      </c>
      <c r="E151" s="1"/>
      <c r="F151" s="1"/>
      <c r="G151" s="130"/>
      <c r="H151" s="54"/>
      <c r="I151" s="88"/>
      <c r="J151" s="88"/>
      <c r="K151" s="89"/>
    </row>
    <row r="152" spans="1:11" ht="15.75">
      <c r="A152" s="78"/>
      <c r="B152" s="78" t="s">
        <v>314</v>
      </c>
      <c r="C152" s="79">
        <f>C52+C134+C151</f>
        <v>6949177209.740001</v>
      </c>
      <c r="D152" s="79">
        <f>D52+D134+D151</f>
        <v>1508192699</v>
      </c>
      <c r="E152" s="1"/>
      <c r="F152" s="1"/>
      <c r="G152" s="130"/>
      <c r="H152" s="54"/>
      <c r="I152" s="88"/>
      <c r="J152" s="88"/>
      <c r="K152" s="89"/>
    </row>
    <row r="153" spans="1:11" ht="15.75">
      <c r="A153" s="78"/>
      <c r="B153" s="78" t="s">
        <v>165</v>
      </c>
      <c r="C153" s="79">
        <f>ROUND((C48+C152),0)</f>
        <v>9023116680</v>
      </c>
      <c r="D153" s="79">
        <f>ROUND((D48+D152),0)</f>
        <v>1691141609</v>
      </c>
      <c r="E153" s="1"/>
      <c r="F153" s="1"/>
      <c r="G153" s="130"/>
      <c r="H153" s="54"/>
      <c r="I153" s="88"/>
      <c r="J153" s="88"/>
      <c r="K153" s="89"/>
    </row>
    <row r="154" spans="2:11" ht="15.75">
      <c r="B154" s="25"/>
      <c r="D154" s="228" t="s">
        <v>315</v>
      </c>
      <c r="E154" s="228"/>
      <c r="F154" s="228"/>
      <c r="G154" s="103"/>
      <c r="H154" s="54">
        <v>6157</v>
      </c>
      <c r="I154" s="46" t="s">
        <v>206</v>
      </c>
      <c r="J154" s="46" t="s">
        <v>207</v>
      </c>
      <c r="K154" s="68">
        <v>13500000</v>
      </c>
    </row>
    <row r="155" spans="2:11" ht="14.25">
      <c r="B155" s="32" t="s">
        <v>30</v>
      </c>
      <c r="D155" s="217" t="s">
        <v>5</v>
      </c>
      <c r="E155" s="217"/>
      <c r="F155" s="253"/>
      <c r="G155" s="50">
        <v>6400</v>
      </c>
      <c r="H155" s="250" t="s">
        <v>80</v>
      </c>
      <c r="I155" s="251"/>
      <c r="J155" s="50"/>
      <c r="K155" s="89">
        <f>SUM(K156:K162)</f>
        <v>1227848416</v>
      </c>
    </row>
    <row r="156" spans="2:11" ht="15.75">
      <c r="B156" s="7"/>
      <c r="G156" s="50"/>
      <c r="H156" s="90">
        <v>6449</v>
      </c>
      <c r="I156" s="91" t="s">
        <v>141</v>
      </c>
      <c r="J156" s="91" t="s">
        <v>208</v>
      </c>
      <c r="K156" s="68">
        <v>410000000</v>
      </c>
    </row>
    <row r="157" spans="2:11" ht="15.75">
      <c r="B157" s="25"/>
      <c r="G157" s="69"/>
      <c r="H157" s="54">
        <v>6449</v>
      </c>
      <c r="I157" s="91" t="s">
        <v>141</v>
      </c>
      <c r="J157" s="46" t="s">
        <v>209</v>
      </c>
      <c r="K157" s="68">
        <v>14400000</v>
      </c>
    </row>
    <row r="158" spans="2:11" ht="15.75">
      <c r="B158" s="25"/>
      <c r="G158" s="69"/>
      <c r="H158" s="54">
        <v>6449</v>
      </c>
      <c r="I158" s="91" t="s">
        <v>141</v>
      </c>
      <c r="J158" s="46" t="s">
        <v>210</v>
      </c>
      <c r="K158" s="68">
        <v>6000000</v>
      </c>
    </row>
    <row r="159" spans="2:11" ht="15.75">
      <c r="B159" s="25"/>
      <c r="G159" s="69"/>
      <c r="H159" s="54">
        <v>6449</v>
      </c>
      <c r="I159" s="91" t="s">
        <v>141</v>
      </c>
      <c r="J159" s="46" t="s">
        <v>211</v>
      </c>
      <c r="K159" s="68">
        <v>117471600</v>
      </c>
    </row>
    <row r="160" spans="2:11" ht="15.75">
      <c r="B160" s="25"/>
      <c r="G160" s="69"/>
      <c r="H160" s="54">
        <v>6449</v>
      </c>
      <c r="I160" s="91" t="s">
        <v>141</v>
      </c>
      <c r="J160" s="46" t="s">
        <v>212</v>
      </c>
      <c r="K160" s="68">
        <v>9800000</v>
      </c>
    </row>
    <row r="161" spans="2:11" ht="15.75">
      <c r="B161" s="25"/>
      <c r="G161" s="69"/>
      <c r="H161" s="54">
        <v>6449</v>
      </c>
      <c r="I161" s="91" t="s">
        <v>141</v>
      </c>
      <c r="J161" s="46" t="s">
        <v>213</v>
      </c>
      <c r="K161" s="68">
        <v>1800000</v>
      </c>
    </row>
    <row r="162" spans="2:11" ht="15.75">
      <c r="B162" s="104" t="s">
        <v>227</v>
      </c>
      <c r="D162" s="229" t="s">
        <v>23</v>
      </c>
      <c r="E162" s="229"/>
      <c r="F162" s="254"/>
      <c r="G162" s="69"/>
      <c r="H162" s="54">
        <v>6449</v>
      </c>
      <c r="I162" s="91" t="s">
        <v>141</v>
      </c>
      <c r="J162" s="46" t="s">
        <v>214</v>
      </c>
      <c r="K162" s="68">
        <v>668376816</v>
      </c>
    </row>
    <row r="163" spans="2:11" ht="15">
      <c r="B163" s="25"/>
      <c r="G163" s="53">
        <v>6750</v>
      </c>
      <c r="H163" s="252" t="s">
        <v>116</v>
      </c>
      <c r="I163" s="252"/>
      <c r="J163" s="53"/>
      <c r="K163" s="56">
        <f>K164</f>
        <v>40000000</v>
      </c>
    </row>
    <row r="164" spans="2:11" ht="15.75">
      <c r="B164" s="25"/>
      <c r="G164" s="69"/>
      <c r="H164" s="54">
        <v>6758</v>
      </c>
      <c r="I164" s="46" t="s">
        <v>215</v>
      </c>
      <c r="J164" s="46"/>
      <c r="K164" s="92">
        <v>40000000</v>
      </c>
    </row>
    <row r="165" spans="2:11" ht="15">
      <c r="B165" s="25"/>
      <c r="G165" s="53">
        <v>6900</v>
      </c>
      <c r="H165" s="252" t="s">
        <v>126</v>
      </c>
      <c r="I165" s="252"/>
      <c r="J165" s="53"/>
      <c r="K165" s="56">
        <f>K166</f>
        <v>174890992</v>
      </c>
    </row>
    <row r="166" spans="2:11" ht="45">
      <c r="B166" s="25"/>
      <c r="G166" s="54"/>
      <c r="H166" s="54">
        <v>6907</v>
      </c>
      <c r="I166" s="93" t="s">
        <v>216</v>
      </c>
      <c r="J166" s="93" t="s">
        <v>217</v>
      </c>
      <c r="K166" s="41">
        <v>174890992</v>
      </c>
    </row>
    <row r="167" spans="2:11" ht="15.75">
      <c r="B167" s="25"/>
      <c r="G167" s="65">
        <v>7000</v>
      </c>
      <c r="H167" s="54"/>
      <c r="I167" s="65" t="s">
        <v>136</v>
      </c>
      <c r="J167" s="65"/>
      <c r="K167" s="89">
        <f>SUM(K168:K168)</f>
        <v>1200000</v>
      </c>
    </row>
    <row r="168" spans="2:11" ht="15.75">
      <c r="B168" s="25"/>
      <c r="G168" s="69"/>
      <c r="H168" s="54">
        <v>7004</v>
      </c>
      <c r="I168" s="59" t="s">
        <v>139</v>
      </c>
      <c r="J168" s="59" t="s">
        <v>218</v>
      </c>
      <c r="K168" s="68">
        <v>1200000</v>
      </c>
    </row>
    <row r="169" spans="2:11" ht="15.75">
      <c r="B169" s="25"/>
      <c r="G169" s="65">
        <v>7750</v>
      </c>
      <c r="H169" s="54"/>
      <c r="I169" s="65" t="s">
        <v>81</v>
      </c>
      <c r="J169" s="65"/>
      <c r="K169" s="89">
        <f>SUM(K170:K171)</f>
        <v>144000000</v>
      </c>
    </row>
    <row r="170" spans="7:11" ht="15">
      <c r="G170" s="65"/>
      <c r="H170" s="54">
        <v>7757</v>
      </c>
      <c r="I170" s="94" t="s">
        <v>50</v>
      </c>
      <c r="J170" s="94" t="s">
        <v>219</v>
      </c>
      <c r="K170" s="68">
        <v>30000000</v>
      </c>
    </row>
    <row r="171" spans="7:11" ht="15">
      <c r="G171" s="69"/>
      <c r="H171" s="54">
        <v>7799</v>
      </c>
      <c r="I171" s="59" t="s">
        <v>50</v>
      </c>
      <c r="J171" s="59" t="s">
        <v>220</v>
      </c>
      <c r="K171" s="68">
        <v>114000000</v>
      </c>
    </row>
    <row r="172" spans="7:11" ht="29.25">
      <c r="G172" s="65"/>
      <c r="H172" s="54"/>
      <c r="I172" s="95" t="s">
        <v>221</v>
      </c>
      <c r="J172" s="95"/>
      <c r="K172" s="96">
        <f>SUM(K173:K174)</f>
        <v>507000000</v>
      </c>
    </row>
    <row r="173" spans="7:11" ht="16.5">
      <c r="G173" s="65"/>
      <c r="H173" s="54">
        <v>6552</v>
      </c>
      <c r="I173" s="66" t="s">
        <v>222</v>
      </c>
      <c r="J173" s="66" t="s">
        <v>223</v>
      </c>
      <c r="K173" s="67">
        <v>377000000</v>
      </c>
    </row>
    <row r="174" spans="7:11" ht="16.5">
      <c r="G174" s="65"/>
      <c r="H174" s="97">
        <v>6955</v>
      </c>
      <c r="I174" s="66" t="s">
        <v>224</v>
      </c>
      <c r="J174" s="66" t="s">
        <v>225</v>
      </c>
      <c r="K174" s="67">
        <v>130000000</v>
      </c>
    </row>
    <row r="175" spans="7:11" ht="18.75">
      <c r="G175" s="98"/>
      <c r="H175" s="99"/>
      <c r="I175" s="78" t="s">
        <v>226</v>
      </c>
      <c r="J175" s="78"/>
      <c r="K175" s="100">
        <f>K106+K128+K137+K155+K163+K165+K167+K169+K172</f>
        <v>2726430600</v>
      </c>
    </row>
  </sheetData>
  <sheetProtection/>
  <mergeCells count="59">
    <mergeCell ref="A146:B146"/>
    <mergeCell ref="A99:B99"/>
    <mergeCell ref="A104:B104"/>
    <mergeCell ref="A109:B109"/>
    <mergeCell ref="A115:B115"/>
    <mergeCell ref="A121:B121"/>
    <mergeCell ref="A141:B141"/>
    <mergeCell ref="A96:B96"/>
    <mergeCell ref="A18:B18"/>
    <mergeCell ref="A21:B21"/>
    <mergeCell ref="A28:B28"/>
    <mergeCell ref="A39:B39"/>
    <mergeCell ref="A49:A50"/>
    <mergeCell ref="B49:B50"/>
    <mergeCell ref="A79:B79"/>
    <mergeCell ref="D154:F154"/>
    <mergeCell ref="A9:F9"/>
    <mergeCell ref="A11:A12"/>
    <mergeCell ref="B11:B12"/>
    <mergeCell ref="C11:C12"/>
    <mergeCell ref="C49:C50"/>
    <mergeCell ref="A55:B55"/>
    <mergeCell ref="A83:B83"/>
    <mergeCell ref="A86:B86"/>
    <mergeCell ref="A92:B92"/>
    <mergeCell ref="G13:L13"/>
    <mergeCell ref="H15:I15"/>
    <mergeCell ref="H20:I20"/>
    <mergeCell ref="D49:D50"/>
    <mergeCell ref="A60:B60"/>
    <mergeCell ref="A69:B69"/>
    <mergeCell ref="G34:I34"/>
    <mergeCell ref="H39:I39"/>
    <mergeCell ref="C3:F3"/>
    <mergeCell ref="C4:F4"/>
    <mergeCell ref="A5:F5"/>
    <mergeCell ref="A6:F6"/>
    <mergeCell ref="A7:F7"/>
    <mergeCell ref="D11:D12"/>
    <mergeCell ref="E11:E12"/>
    <mergeCell ref="F11:F12"/>
    <mergeCell ref="A8:F8"/>
    <mergeCell ref="H132:I132"/>
    <mergeCell ref="H44:I44"/>
    <mergeCell ref="H47:I47"/>
    <mergeCell ref="H57:I57"/>
    <mergeCell ref="H61:I61"/>
    <mergeCell ref="H66:I66"/>
    <mergeCell ref="H71:I71"/>
    <mergeCell ref="H155:I155"/>
    <mergeCell ref="H163:I163"/>
    <mergeCell ref="H165:I165"/>
    <mergeCell ref="D155:F155"/>
    <mergeCell ref="D162:F162"/>
    <mergeCell ref="H77:I77"/>
    <mergeCell ref="H83:I83"/>
    <mergeCell ref="H90:I90"/>
    <mergeCell ref="G92:I92"/>
    <mergeCell ref="H129:I129"/>
  </mergeCells>
  <printOptions horizontalCentered="1"/>
  <pageMargins left="0" right="0"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N163"/>
  <sheetViews>
    <sheetView zoomScalePageLayoutView="0" workbookViewId="0" topLeftCell="A37">
      <selection activeCell="E49" sqref="A49:IV51"/>
    </sheetView>
  </sheetViews>
  <sheetFormatPr defaultColWidth="9.140625" defaultRowHeight="12.75"/>
  <cols>
    <col min="1" max="1" width="6.28125" style="0" customWidth="1"/>
    <col min="2" max="2" width="36.7109375" style="0" customWidth="1"/>
    <col min="3" max="3" width="14.28125" style="0" customWidth="1"/>
    <col min="4" max="4" width="15.00390625" style="0" customWidth="1"/>
    <col min="5" max="5" width="12.28125" style="0" customWidth="1"/>
    <col min="6" max="6" width="12.140625" style="0" customWidth="1"/>
    <col min="7" max="7" width="31.57421875" style="0" customWidth="1"/>
    <col min="10" max="10" width="9.140625" style="0" customWidth="1"/>
    <col min="11" max="11" width="14.8515625" style="27" customWidth="1"/>
    <col min="12" max="12" width="15.421875" style="27" customWidth="1"/>
    <col min="13" max="13" width="14.8515625" style="27" customWidth="1"/>
    <col min="14" max="14" width="15.28125" style="27" customWidth="1"/>
    <col min="15" max="15" width="20.7109375" style="0" customWidth="1"/>
  </cols>
  <sheetData>
    <row r="2" spans="1:6" ht="12.75">
      <c r="A2" s="217" t="s">
        <v>33</v>
      </c>
      <c r="B2" s="217"/>
      <c r="C2" s="217"/>
      <c r="D2" s="217"/>
      <c r="E2" s="217"/>
      <c r="F2" s="217"/>
    </row>
    <row r="3" ht="12.75">
      <c r="B3" s="3"/>
    </row>
    <row r="4" spans="1:4" ht="15.75">
      <c r="A4" s="7" t="s">
        <v>21</v>
      </c>
      <c r="B4" s="7"/>
      <c r="C4" s="7"/>
      <c r="D4" s="3"/>
    </row>
    <row r="5" spans="1:4" ht="15.75">
      <c r="A5" s="7" t="s">
        <v>12</v>
      </c>
      <c r="B5" s="7"/>
      <c r="C5" s="7"/>
      <c r="D5" s="3"/>
    </row>
    <row r="6" ht="12.75">
      <c r="A6" s="3"/>
    </row>
    <row r="7" spans="1:6" ht="18">
      <c r="A7" s="216" t="s">
        <v>14</v>
      </c>
      <c r="B7" s="216"/>
      <c r="C7" s="216"/>
      <c r="D7" s="216"/>
      <c r="E7" s="216"/>
      <c r="F7" s="216"/>
    </row>
    <row r="8" spans="1:6" ht="18">
      <c r="A8" s="216" t="s">
        <v>316</v>
      </c>
      <c r="B8" s="216"/>
      <c r="C8" s="216"/>
      <c r="D8" s="216"/>
      <c r="E8" s="216"/>
      <c r="F8" s="216"/>
    </row>
    <row r="9" spans="1:6" ht="18" customHeight="1">
      <c r="A9" s="272" t="s">
        <v>317</v>
      </c>
      <c r="B9" s="272"/>
      <c r="C9" s="272"/>
      <c r="D9" s="272"/>
      <c r="E9" s="272"/>
      <c r="F9" s="272"/>
    </row>
    <row r="10" spans="1:4" ht="15.75">
      <c r="A10" s="3"/>
      <c r="B10" s="7"/>
      <c r="C10" s="7"/>
      <c r="D10" s="18" t="s">
        <v>24</v>
      </c>
    </row>
    <row r="11" spans="1:6" ht="33" customHeight="1">
      <c r="A11" s="224" t="s">
        <v>0</v>
      </c>
      <c r="B11" s="226" t="s">
        <v>8</v>
      </c>
      <c r="C11" s="259" t="s">
        <v>6</v>
      </c>
      <c r="D11" s="259" t="s">
        <v>13</v>
      </c>
      <c r="E11" s="271" t="s">
        <v>34</v>
      </c>
      <c r="F11" s="271" t="s">
        <v>35</v>
      </c>
    </row>
    <row r="12" spans="1:6" ht="54" customHeight="1">
      <c r="A12" s="225"/>
      <c r="B12" s="227"/>
      <c r="C12" s="260"/>
      <c r="D12" s="260"/>
      <c r="E12" s="271"/>
      <c r="F12" s="271"/>
    </row>
    <row r="13" spans="1:6" ht="12.75">
      <c r="A13" s="13" t="s">
        <v>3</v>
      </c>
      <c r="B13" s="2" t="s">
        <v>4</v>
      </c>
      <c r="C13" s="13"/>
      <c r="D13" s="21"/>
      <c r="E13" s="19"/>
      <c r="F13" s="1"/>
    </row>
    <row r="14" spans="1:6" ht="12.75">
      <c r="A14" s="2">
        <v>3</v>
      </c>
      <c r="B14" s="2" t="s">
        <v>10</v>
      </c>
      <c r="C14" s="13"/>
      <c r="D14" s="21"/>
      <c r="E14" s="1"/>
      <c r="F14" s="1"/>
    </row>
    <row r="15" spans="1:6" ht="14.25">
      <c r="A15" s="82">
        <v>6500</v>
      </c>
      <c r="B15" s="81" t="s">
        <v>262</v>
      </c>
      <c r="C15" s="83">
        <f>SUM(C16:C16)</f>
        <v>10080000</v>
      </c>
      <c r="D15" s="83">
        <f>SUM(D16:D16)</f>
        <v>10080000</v>
      </c>
      <c r="E15" s="28"/>
      <c r="F15" s="1"/>
    </row>
    <row r="16" spans="1:6" ht="90">
      <c r="A16" s="131">
        <v>6599</v>
      </c>
      <c r="B16" s="84" t="s">
        <v>263</v>
      </c>
      <c r="C16" s="132">
        <v>10080000</v>
      </c>
      <c r="D16" s="132">
        <v>10080000</v>
      </c>
      <c r="E16" s="29"/>
      <c r="F16" s="1"/>
    </row>
    <row r="17" spans="1:6" ht="14.25">
      <c r="A17" s="82"/>
      <c r="B17" s="81" t="s">
        <v>197</v>
      </c>
      <c r="C17" s="83">
        <f>C18+C21</f>
        <v>16376100</v>
      </c>
      <c r="D17" s="83">
        <f>D18+D21</f>
        <v>16376100</v>
      </c>
      <c r="E17" s="29"/>
      <c r="F17" s="1"/>
    </row>
    <row r="18" spans="1:6" ht="14.25">
      <c r="A18" s="267" t="s">
        <v>198</v>
      </c>
      <c r="B18" s="268"/>
      <c r="C18" s="134">
        <f>SUM(C19:C20)</f>
        <v>13260000</v>
      </c>
      <c r="D18" s="134">
        <f>SUM(D19:D20)</f>
        <v>13260000</v>
      </c>
      <c r="E18" s="28"/>
      <c r="F18" s="1"/>
    </row>
    <row r="19" spans="1:6" ht="30">
      <c r="A19" s="54">
        <v>6757</v>
      </c>
      <c r="B19" s="101" t="s">
        <v>264</v>
      </c>
      <c r="C19" s="40">
        <v>13260000</v>
      </c>
      <c r="D19" s="40">
        <v>13260000</v>
      </c>
      <c r="E19" s="29"/>
      <c r="F19" s="1"/>
    </row>
    <row r="20" spans="1:6" ht="15">
      <c r="A20" s="54"/>
      <c r="B20" s="55"/>
      <c r="C20" s="40"/>
      <c r="D20" s="40"/>
      <c r="E20" s="29"/>
      <c r="F20" s="1"/>
    </row>
    <row r="21" spans="1:6" ht="14.25">
      <c r="A21" s="267" t="s">
        <v>201</v>
      </c>
      <c r="B21" s="268"/>
      <c r="C21" s="57">
        <f>SUM(C22:C25)</f>
        <v>3116100</v>
      </c>
      <c r="D21" s="57">
        <f>SUM(D22:D25)</f>
        <v>3116100</v>
      </c>
      <c r="E21" s="29"/>
      <c r="F21" s="1"/>
    </row>
    <row r="22" spans="1:6" ht="15">
      <c r="A22" s="54">
        <v>6301</v>
      </c>
      <c r="B22" s="59" t="s">
        <v>68</v>
      </c>
      <c r="C22" s="40">
        <v>2320500</v>
      </c>
      <c r="D22" s="40">
        <v>2320500</v>
      </c>
      <c r="E22" s="29"/>
      <c r="F22" s="1"/>
    </row>
    <row r="23" spans="1:6" ht="15">
      <c r="A23" s="54">
        <v>6302</v>
      </c>
      <c r="B23" s="59" t="s">
        <v>202</v>
      </c>
      <c r="C23" s="40">
        <v>397800</v>
      </c>
      <c r="D23" s="40">
        <v>397800</v>
      </c>
      <c r="E23" s="29"/>
      <c r="F23" s="1"/>
    </row>
    <row r="24" spans="1:6" ht="15">
      <c r="A24" s="54">
        <v>6303</v>
      </c>
      <c r="B24" s="59" t="s">
        <v>203</v>
      </c>
      <c r="C24" s="40">
        <v>265200</v>
      </c>
      <c r="D24" s="40">
        <v>265200</v>
      </c>
      <c r="E24" s="28"/>
      <c r="F24" s="1"/>
    </row>
    <row r="25" spans="1:6" ht="15">
      <c r="A25" s="54">
        <v>6304</v>
      </c>
      <c r="B25" s="87" t="s">
        <v>204</v>
      </c>
      <c r="C25" s="40">
        <v>132600</v>
      </c>
      <c r="D25" s="40">
        <v>132600</v>
      </c>
      <c r="E25" s="29"/>
      <c r="F25" s="1"/>
    </row>
    <row r="26" spans="1:6" ht="15">
      <c r="A26" s="54"/>
      <c r="B26" s="88" t="s">
        <v>205</v>
      </c>
      <c r="C26" s="89">
        <f>C27</f>
        <v>0</v>
      </c>
      <c r="D26" s="89">
        <f>D27</f>
        <v>0</v>
      </c>
      <c r="E26" s="29"/>
      <c r="F26" s="1"/>
    </row>
    <row r="27" spans="1:6" ht="15">
      <c r="A27" s="54">
        <v>6157</v>
      </c>
      <c r="B27" s="46" t="s">
        <v>206</v>
      </c>
      <c r="C27" s="68"/>
      <c r="D27" s="68"/>
      <c r="E27" s="29"/>
      <c r="F27" s="1"/>
    </row>
    <row r="28" spans="1:6" ht="14.25">
      <c r="A28" s="267" t="s">
        <v>80</v>
      </c>
      <c r="B28" s="268"/>
      <c r="C28" s="89">
        <f>SUM(C29:C38)</f>
        <v>36492810</v>
      </c>
      <c r="D28" s="89">
        <f>SUM(D29:D38)</f>
        <v>36492810</v>
      </c>
      <c r="E28" s="29"/>
      <c r="F28" s="1"/>
    </row>
    <row r="29" spans="1:6" ht="15">
      <c r="A29" s="54">
        <v>6449</v>
      </c>
      <c r="B29" s="87" t="s">
        <v>265</v>
      </c>
      <c r="C29" s="68"/>
      <c r="D29" s="68"/>
      <c r="E29" s="28"/>
      <c r="F29" s="1"/>
    </row>
    <row r="30" spans="1:6" ht="30">
      <c r="A30" s="54">
        <v>6449</v>
      </c>
      <c r="B30" s="135" t="s">
        <v>266</v>
      </c>
      <c r="C30" s="68">
        <f>600000*2*3</f>
        <v>3600000</v>
      </c>
      <c r="D30" s="68">
        <f>600000*2*3</f>
        <v>3600000</v>
      </c>
      <c r="E30" s="29"/>
      <c r="F30" s="1"/>
    </row>
    <row r="31" spans="1:6" ht="30">
      <c r="A31" s="54">
        <v>6449</v>
      </c>
      <c r="B31" s="135" t="s">
        <v>267</v>
      </c>
      <c r="C31" s="68">
        <f>500000*3</f>
        <v>1500000</v>
      </c>
      <c r="D31" s="68">
        <f>500000*3</f>
        <v>1500000</v>
      </c>
      <c r="E31" s="29"/>
      <c r="F31" s="1"/>
    </row>
    <row r="32" spans="1:6" ht="15">
      <c r="A32" s="54">
        <v>6449</v>
      </c>
      <c r="B32" s="87" t="s">
        <v>268</v>
      </c>
      <c r="C32" s="68">
        <f>7487250*2+9713310</f>
        <v>24687810</v>
      </c>
      <c r="D32" s="68">
        <f>7487250*2+9713310</f>
        <v>24687810</v>
      </c>
      <c r="E32" s="1"/>
      <c r="F32" s="1"/>
    </row>
    <row r="33" spans="1:6" ht="15">
      <c r="A33" s="54">
        <v>6449</v>
      </c>
      <c r="B33" s="87" t="s">
        <v>269</v>
      </c>
      <c r="C33" s="68"/>
      <c r="D33" s="68"/>
      <c r="E33" s="1"/>
      <c r="F33" s="1"/>
    </row>
    <row r="34" spans="1:6" ht="15">
      <c r="A34" s="54">
        <v>6449</v>
      </c>
      <c r="B34" s="87" t="s">
        <v>270</v>
      </c>
      <c r="C34" s="68"/>
      <c r="D34" s="68"/>
      <c r="E34" s="1"/>
      <c r="F34" s="1"/>
    </row>
    <row r="35" spans="1:6" ht="15">
      <c r="A35" s="54">
        <v>6449</v>
      </c>
      <c r="B35" s="87" t="s">
        <v>271</v>
      </c>
      <c r="C35" s="68"/>
      <c r="D35" s="68"/>
      <c r="E35" s="1"/>
      <c r="F35" s="1"/>
    </row>
    <row r="36" spans="1:6" ht="15">
      <c r="A36" s="54">
        <v>6449</v>
      </c>
      <c r="B36" s="87" t="s">
        <v>272</v>
      </c>
      <c r="C36" s="68">
        <f>2235000*3</f>
        <v>6705000</v>
      </c>
      <c r="D36" s="68">
        <f>2235000*3</f>
        <v>6705000</v>
      </c>
      <c r="E36" s="1"/>
      <c r="F36" s="1"/>
    </row>
    <row r="37" spans="1:6" ht="15">
      <c r="A37" s="54">
        <v>6449</v>
      </c>
      <c r="B37" s="87" t="s">
        <v>273</v>
      </c>
      <c r="C37" s="68"/>
      <c r="D37" s="68"/>
      <c r="E37" s="1"/>
      <c r="F37" s="1"/>
    </row>
    <row r="38" spans="1:6" ht="15">
      <c r="A38" s="54">
        <v>6449</v>
      </c>
      <c r="B38" s="87" t="s">
        <v>274</v>
      </c>
      <c r="C38" s="136"/>
      <c r="D38" s="136"/>
      <c r="E38" s="1"/>
      <c r="F38" s="1"/>
    </row>
    <row r="39" spans="1:6" ht="14.25">
      <c r="A39" s="252" t="s">
        <v>116</v>
      </c>
      <c r="B39" s="252"/>
      <c r="C39" s="56">
        <f>C40</f>
        <v>0</v>
      </c>
      <c r="D39" s="56">
        <f>D40</f>
        <v>0</v>
      </c>
      <c r="E39" s="1"/>
      <c r="F39" s="1"/>
    </row>
    <row r="40" spans="1:6" ht="15">
      <c r="A40" s="54">
        <v>6758</v>
      </c>
      <c r="B40" s="46" t="s">
        <v>215</v>
      </c>
      <c r="C40" s="92"/>
      <c r="D40" s="92"/>
      <c r="E40" s="1"/>
      <c r="F40" s="1"/>
    </row>
    <row r="41" spans="1:6" ht="15">
      <c r="A41" s="54"/>
      <c r="B41" s="65" t="s">
        <v>136</v>
      </c>
      <c r="C41" s="89">
        <f>SUM(C42:C42)</f>
        <v>0</v>
      </c>
      <c r="D41" s="89">
        <f>SUM(D42:D42)</f>
        <v>0</v>
      </c>
      <c r="E41" s="1"/>
      <c r="F41" s="1"/>
    </row>
    <row r="42" spans="1:6" ht="15">
      <c r="A42" s="54">
        <v>7004</v>
      </c>
      <c r="B42" s="59" t="s">
        <v>139</v>
      </c>
      <c r="C42" s="68"/>
      <c r="D42" s="68"/>
      <c r="E42" s="1"/>
      <c r="F42" s="1"/>
    </row>
    <row r="43" spans="1:6" ht="15">
      <c r="A43" s="54"/>
      <c r="B43" s="65" t="s">
        <v>81</v>
      </c>
      <c r="C43" s="89">
        <f>SUM(C44:C45)</f>
        <v>120000000</v>
      </c>
      <c r="D43" s="89">
        <f>SUM(D44:D45)</f>
        <v>120000000</v>
      </c>
      <c r="E43" s="1"/>
      <c r="F43" s="1"/>
    </row>
    <row r="44" spans="1:6" ht="15">
      <c r="A44" s="54">
        <v>7757</v>
      </c>
      <c r="B44" s="94" t="s">
        <v>219</v>
      </c>
      <c r="C44" s="68"/>
      <c r="D44" s="68"/>
      <c r="E44" s="1"/>
      <c r="F44" s="1"/>
    </row>
    <row r="45" spans="1:6" ht="15">
      <c r="A45" s="54">
        <v>7799</v>
      </c>
      <c r="B45" s="59" t="s">
        <v>275</v>
      </c>
      <c r="C45" s="68">
        <v>120000000</v>
      </c>
      <c r="D45" s="68">
        <v>120000000</v>
      </c>
      <c r="E45" s="1"/>
      <c r="F45" s="1"/>
    </row>
    <row r="46" spans="1:6" ht="15">
      <c r="A46" s="53"/>
      <c r="B46" s="88" t="s">
        <v>276</v>
      </c>
      <c r="C46" s="89">
        <f>C47</f>
        <v>0</v>
      </c>
      <c r="D46" s="89">
        <f>D47</f>
        <v>0</v>
      </c>
      <c r="E46" s="1"/>
      <c r="F46" s="1"/>
    </row>
    <row r="47" spans="1:6" ht="15">
      <c r="A47" s="54">
        <v>8006</v>
      </c>
      <c r="B47" s="59" t="s">
        <v>277</v>
      </c>
      <c r="C47" s="68"/>
      <c r="D47" s="68"/>
      <c r="E47" s="1"/>
      <c r="F47" s="1"/>
    </row>
    <row r="48" spans="1:6" ht="20.25">
      <c r="A48" s="99"/>
      <c r="B48" s="137" t="s">
        <v>278</v>
      </c>
      <c r="C48" s="156">
        <f>C15+C17+C26+C28+C39+C41+C43+C46</f>
        <v>182948910</v>
      </c>
      <c r="D48" s="156">
        <f>D15+D17+D26+D28+D39+D41+D43+D46</f>
        <v>182948910</v>
      </c>
      <c r="E48" s="1"/>
      <c r="F48" s="1"/>
    </row>
    <row r="49" spans="1:6" ht="20.25" customHeight="1">
      <c r="A49" s="269" t="s">
        <v>279</v>
      </c>
      <c r="B49" s="270" t="s">
        <v>280</v>
      </c>
      <c r="C49" s="264" t="s">
        <v>281</v>
      </c>
      <c r="D49" s="264" t="s">
        <v>281</v>
      </c>
      <c r="E49" s="1"/>
      <c r="F49" s="1"/>
    </row>
    <row r="50" spans="1:6" ht="12.75">
      <c r="A50" s="269"/>
      <c r="B50" s="270"/>
      <c r="C50" s="264"/>
      <c r="D50" s="264"/>
      <c r="E50" s="1"/>
      <c r="F50" s="1"/>
    </row>
    <row r="51" spans="1:6" ht="18">
      <c r="A51" s="139">
        <v>2</v>
      </c>
      <c r="B51" s="138">
        <v>3</v>
      </c>
      <c r="C51" s="140">
        <v>5</v>
      </c>
      <c r="D51" s="140">
        <v>5</v>
      </c>
      <c r="E51" s="8"/>
      <c r="F51" s="8"/>
    </row>
    <row r="52" spans="1:6" ht="14.25">
      <c r="A52" s="142"/>
      <c r="B52" s="141" t="s">
        <v>282</v>
      </c>
      <c r="C52" s="165">
        <f>C54+C78</f>
        <v>1508192699</v>
      </c>
      <c r="D52" s="165">
        <f>D54+D78</f>
        <v>1508192699</v>
      </c>
      <c r="E52" s="1"/>
      <c r="F52" s="1"/>
    </row>
    <row r="53" spans="1:6" ht="14.25">
      <c r="A53" s="143"/>
      <c r="B53" s="143"/>
      <c r="C53" s="143"/>
      <c r="D53" s="143"/>
      <c r="E53" s="1"/>
      <c r="F53" s="1"/>
    </row>
    <row r="54" spans="1:6" ht="14.25">
      <c r="A54" s="144"/>
      <c r="B54" s="144" t="s">
        <v>78</v>
      </c>
      <c r="C54" s="145">
        <f>C55+C60+C69+C59</f>
        <v>1229031069</v>
      </c>
      <c r="D54" s="145">
        <f>D55+D60+D69+D59</f>
        <v>1229031069</v>
      </c>
      <c r="E54" s="1"/>
      <c r="F54" s="1"/>
    </row>
    <row r="55" spans="1:6" ht="14.25">
      <c r="A55" s="252" t="s">
        <v>52</v>
      </c>
      <c r="B55" s="252"/>
      <c r="C55" s="80">
        <f>SUM(C56:C58)</f>
        <v>707955600</v>
      </c>
      <c r="D55" s="80">
        <f>SUM(D56:D58)</f>
        <v>707955600</v>
      </c>
      <c r="E55" s="1"/>
      <c r="F55" s="1"/>
    </row>
    <row r="56" spans="1:6" ht="30">
      <c r="A56" s="54">
        <v>6001</v>
      </c>
      <c r="B56" s="101" t="s">
        <v>283</v>
      </c>
      <c r="C56" s="40">
        <f>668175600/149*121</f>
        <v>542612400</v>
      </c>
      <c r="D56" s="40">
        <f>668175600/149*121</f>
        <v>542612400</v>
      </c>
      <c r="E56" s="1"/>
      <c r="F56" s="1"/>
    </row>
    <row r="57" spans="1:6" ht="15">
      <c r="A57" s="54">
        <v>6001</v>
      </c>
      <c r="B57" s="55" t="s">
        <v>284</v>
      </c>
      <c r="C57" s="40">
        <f>668175600/149*28</f>
        <v>125563200</v>
      </c>
      <c r="D57" s="40">
        <f>668175600/149*28</f>
        <v>125563200</v>
      </c>
      <c r="E57" s="1"/>
      <c r="F57" s="1"/>
    </row>
    <row r="58" spans="1:6" ht="15">
      <c r="A58" s="54">
        <v>6051</v>
      </c>
      <c r="B58" s="55" t="s">
        <v>285</v>
      </c>
      <c r="C58" s="40">
        <v>39780000</v>
      </c>
      <c r="D58" s="40">
        <v>39780000</v>
      </c>
      <c r="E58" s="1"/>
      <c r="F58" s="1"/>
    </row>
    <row r="59" spans="1:6" ht="15">
      <c r="A59" s="54"/>
      <c r="B59" s="55"/>
      <c r="C59" s="40"/>
      <c r="D59" s="40"/>
      <c r="E59" s="1"/>
      <c r="F59" s="1"/>
    </row>
    <row r="60" spans="1:6" ht="14.25">
      <c r="A60" s="252" t="s">
        <v>57</v>
      </c>
      <c r="B60" s="252"/>
      <c r="C60" s="56">
        <f>SUM(C61:C68)</f>
        <v>312448828</v>
      </c>
      <c r="D60" s="56">
        <f>SUM(D61:D68)</f>
        <v>312448828</v>
      </c>
      <c r="E60" s="1"/>
      <c r="F60" s="1"/>
    </row>
    <row r="61" spans="1:6" ht="15">
      <c r="A61" s="54">
        <v>6101</v>
      </c>
      <c r="B61" s="46" t="s">
        <v>286</v>
      </c>
      <c r="C61" s="40">
        <f>16092000/1490*1210</f>
        <v>13068000</v>
      </c>
      <c r="D61" s="40">
        <f>16092000/1490*1210</f>
        <v>13068000</v>
      </c>
      <c r="E61" s="1"/>
      <c r="F61" s="1"/>
    </row>
    <row r="62" spans="1:6" ht="15">
      <c r="A62" s="54"/>
      <c r="B62" s="46" t="s">
        <v>287</v>
      </c>
      <c r="C62" s="40">
        <f>16092000/1490*280</f>
        <v>3024000</v>
      </c>
      <c r="D62" s="40">
        <f>16092000/1490*280</f>
        <v>3024000</v>
      </c>
      <c r="E62" s="1"/>
      <c r="F62" s="1"/>
    </row>
    <row r="63" spans="1:6" ht="15">
      <c r="A63" s="54">
        <v>6112</v>
      </c>
      <c r="B63" s="46" t="s">
        <v>288</v>
      </c>
      <c r="C63" s="40">
        <f>208655577/1490*1210</f>
        <v>169445133</v>
      </c>
      <c r="D63" s="40">
        <f>208655577/1490*1210</f>
        <v>169445133</v>
      </c>
      <c r="E63" s="1"/>
      <c r="F63" s="1"/>
    </row>
    <row r="64" spans="1:6" ht="15">
      <c r="A64" s="54"/>
      <c r="B64" s="46" t="s">
        <v>289</v>
      </c>
      <c r="C64" s="40">
        <f>208655577/1490*280</f>
        <v>39210444</v>
      </c>
      <c r="D64" s="40">
        <f>208655577/1490*280</f>
        <v>39210444</v>
      </c>
      <c r="E64" s="1"/>
      <c r="F64" s="1"/>
    </row>
    <row r="65" spans="1:6" ht="15">
      <c r="A65" s="54">
        <v>6113</v>
      </c>
      <c r="B65" s="46" t="s">
        <v>290</v>
      </c>
      <c r="C65" s="40">
        <f>1788000/1490*1210</f>
        <v>1452000</v>
      </c>
      <c r="D65" s="40">
        <f>1788000/1490*1210</f>
        <v>1452000</v>
      </c>
      <c r="E65" s="1"/>
      <c r="F65" s="1"/>
    </row>
    <row r="66" spans="1:6" ht="15">
      <c r="A66" s="54"/>
      <c r="B66" s="46" t="s">
        <v>291</v>
      </c>
      <c r="C66" s="40">
        <f>1788000/1490*280</f>
        <v>336000</v>
      </c>
      <c r="D66" s="40">
        <f>1788000/1490*280</f>
        <v>336000</v>
      </c>
      <c r="E66" s="1"/>
      <c r="F66" s="1"/>
    </row>
    <row r="67" spans="1:6" ht="26.25">
      <c r="A67" s="54">
        <v>6115</v>
      </c>
      <c r="B67" s="146" t="s">
        <v>292</v>
      </c>
      <c r="C67" s="40">
        <f>85913251/1490*1210</f>
        <v>69768479</v>
      </c>
      <c r="D67" s="40">
        <f>85913251/1490*1210</f>
        <v>69768479</v>
      </c>
      <c r="E67" s="1"/>
      <c r="F67" s="1"/>
    </row>
    <row r="68" spans="1:6" ht="26.25">
      <c r="A68" s="54"/>
      <c r="B68" s="146" t="s">
        <v>293</v>
      </c>
      <c r="C68" s="40">
        <f>85913251/1490*280</f>
        <v>16144772</v>
      </c>
      <c r="D68" s="40">
        <f>85913251/1490*280</f>
        <v>16144772</v>
      </c>
      <c r="E68" s="1"/>
      <c r="F68" s="1"/>
    </row>
    <row r="69" spans="1:6" ht="14.25">
      <c r="A69" s="252" t="s">
        <v>294</v>
      </c>
      <c r="B69" s="252"/>
      <c r="C69" s="56">
        <f>SUM(C70:C77)</f>
        <v>208626641</v>
      </c>
      <c r="D69" s="56">
        <f>SUM(D70:D77)</f>
        <v>208626641</v>
      </c>
      <c r="E69" s="1"/>
      <c r="F69" s="10"/>
    </row>
    <row r="70" spans="1:6" ht="15">
      <c r="A70" s="54">
        <v>6301</v>
      </c>
      <c r="B70" s="59" t="s">
        <v>295</v>
      </c>
      <c r="C70" s="40">
        <f>155550123/1490*1210</f>
        <v>126319227.40268455</v>
      </c>
      <c r="D70" s="40">
        <f>155550123/1490*1210</f>
        <v>126319227.40268455</v>
      </c>
      <c r="E70" s="1"/>
      <c r="F70" s="1"/>
    </row>
    <row r="71" spans="1:6" ht="15">
      <c r="A71" s="54">
        <v>6302</v>
      </c>
      <c r="B71" s="59" t="s">
        <v>296</v>
      </c>
      <c r="C71" s="40">
        <f>26665735/1490*1210</f>
        <v>21654724.395973153</v>
      </c>
      <c r="D71" s="40">
        <f>26665735/1490*1210</f>
        <v>21654724.395973153</v>
      </c>
      <c r="E71" s="1"/>
      <c r="F71" s="1"/>
    </row>
    <row r="72" spans="1:6" ht="15">
      <c r="A72" s="54">
        <v>6303</v>
      </c>
      <c r="B72" s="59" t="s">
        <v>297</v>
      </c>
      <c r="C72" s="40">
        <f>17777158/1490*1210</f>
        <v>14436484.013422819</v>
      </c>
      <c r="D72" s="40">
        <f>17777158/1490*1210</f>
        <v>14436484.013422819</v>
      </c>
      <c r="E72" s="1"/>
      <c r="F72" s="1"/>
    </row>
    <row r="73" spans="1:6" ht="15">
      <c r="A73" s="54">
        <v>6304</v>
      </c>
      <c r="B73" s="59" t="s">
        <v>298</v>
      </c>
      <c r="C73" s="40">
        <f>8633625/1490*1210</f>
        <v>7011198.825503356</v>
      </c>
      <c r="D73" s="40">
        <f>8633625/1490*1210</f>
        <v>7011198.825503356</v>
      </c>
      <c r="E73" s="1"/>
      <c r="F73" s="1"/>
    </row>
    <row r="74" spans="1:6" ht="15">
      <c r="A74" s="54">
        <v>6301</v>
      </c>
      <c r="B74" s="59" t="s">
        <v>299</v>
      </c>
      <c r="C74" s="40">
        <f>155550123/1490*280</f>
        <v>29230895.597315434</v>
      </c>
      <c r="D74" s="40">
        <f>155550123/1490*280</f>
        <v>29230895.597315434</v>
      </c>
      <c r="E74" s="1"/>
      <c r="F74" s="1"/>
    </row>
    <row r="75" spans="1:6" ht="15">
      <c r="A75" s="54">
        <v>6302</v>
      </c>
      <c r="B75" s="59" t="s">
        <v>300</v>
      </c>
      <c r="C75" s="40">
        <f>26665735/1490*280</f>
        <v>5011010.604026846</v>
      </c>
      <c r="D75" s="40">
        <f>26665735/1490*280</f>
        <v>5011010.604026846</v>
      </c>
      <c r="E75" s="1"/>
      <c r="F75" s="1"/>
    </row>
    <row r="76" spans="1:6" ht="15">
      <c r="A76" s="54">
        <v>6303</v>
      </c>
      <c r="B76" s="59" t="s">
        <v>301</v>
      </c>
      <c r="C76" s="40">
        <f>17777158/1490*280</f>
        <v>3340673.9865771816</v>
      </c>
      <c r="D76" s="40">
        <f>17777158/1490*280</f>
        <v>3340673.9865771816</v>
      </c>
      <c r="E76" s="1"/>
      <c r="F76" s="1"/>
    </row>
    <row r="77" spans="1:6" ht="15">
      <c r="A77" s="54">
        <v>6304</v>
      </c>
      <c r="B77" s="59" t="s">
        <v>302</v>
      </c>
      <c r="C77" s="40">
        <f>8633625/1490*280</f>
        <v>1622426.1744966444</v>
      </c>
      <c r="D77" s="40">
        <f>8633625/1490*280</f>
        <v>1622426.1744966444</v>
      </c>
      <c r="E77" s="1"/>
      <c r="F77" s="1"/>
    </row>
    <row r="78" spans="1:6" ht="14.25">
      <c r="A78" s="75"/>
      <c r="B78" s="75" t="s">
        <v>303</v>
      </c>
      <c r="C78" s="56">
        <f>C79+C83+C86+C92+C96+C99+C104+C109+C115+C121+C123+C132</f>
        <v>279161630</v>
      </c>
      <c r="D78" s="56">
        <f>D79+D83+D86+D92+D96+D99+D104+D109+D115+D121+D123+D132</f>
        <v>279161630</v>
      </c>
      <c r="E78" s="1"/>
      <c r="F78" s="1"/>
    </row>
    <row r="79" spans="1:6" ht="14.25">
      <c r="A79" s="252" t="s">
        <v>80</v>
      </c>
      <c r="B79" s="252"/>
      <c r="C79" s="56">
        <f>SUM(C80:C82)</f>
        <v>0</v>
      </c>
      <c r="D79" s="56">
        <f>SUM(D80:D82)</f>
        <v>0</v>
      </c>
      <c r="E79" s="1"/>
      <c r="F79" s="1"/>
    </row>
    <row r="80" spans="1:6" ht="15">
      <c r="A80" s="54">
        <v>6449</v>
      </c>
      <c r="B80" s="59" t="s">
        <v>304</v>
      </c>
      <c r="C80" s="42"/>
      <c r="D80" s="42"/>
      <c r="E80" s="1"/>
      <c r="F80" s="1"/>
    </row>
    <row r="81" spans="1:6" ht="15">
      <c r="A81" s="54">
        <v>6449</v>
      </c>
      <c r="B81" s="59" t="s">
        <v>81</v>
      </c>
      <c r="C81" s="42"/>
      <c r="D81" s="42"/>
      <c r="E81" s="1"/>
      <c r="F81" s="1"/>
    </row>
    <row r="82" spans="1:6" ht="15">
      <c r="A82" s="54"/>
      <c r="B82" s="59"/>
      <c r="C82" s="42"/>
      <c r="D82" s="42"/>
      <c r="E82" s="1"/>
      <c r="F82" s="1"/>
    </row>
    <row r="83" spans="1:6" ht="14.25">
      <c r="A83" s="252" t="s">
        <v>83</v>
      </c>
      <c r="B83" s="252"/>
      <c r="C83" s="56">
        <f>SUM(C84:C85)</f>
        <v>30561230</v>
      </c>
      <c r="D83" s="56">
        <f>SUM(D84:D85)</f>
        <v>30561230</v>
      </c>
      <c r="E83" s="1"/>
      <c r="F83" s="1"/>
    </row>
    <row r="84" spans="1:6" ht="15">
      <c r="A84" s="54">
        <v>6501</v>
      </c>
      <c r="B84" s="55" t="s">
        <v>84</v>
      </c>
      <c r="C84" s="132">
        <v>30245090</v>
      </c>
      <c r="D84" s="132">
        <v>30245090</v>
      </c>
      <c r="E84" s="1"/>
      <c r="F84" s="1"/>
    </row>
    <row r="85" spans="1:6" ht="15">
      <c r="A85" s="54">
        <v>6504</v>
      </c>
      <c r="B85" s="55" t="s">
        <v>86</v>
      </c>
      <c r="C85" s="132">
        <v>316140</v>
      </c>
      <c r="D85" s="132">
        <v>316140</v>
      </c>
      <c r="E85" s="28"/>
      <c r="F85" s="28"/>
    </row>
    <row r="86" spans="1:6" ht="14.25">
      <c r="A86" s="252" t="s">
        <v>88</v>
      </c>
      <c r="B86" s="252"/>
      <c r="C86" s="56">
        <f>SUM(C87:C91)</f>
        <v>41132000</v>
      </c>
      <c r="D86" s="56">
        <f>SUM(D87:D91)</f>
        <v>41132000</v>
      </c>
      <c r="E86" s="1"/>
      <c r="F86" s="1"/>
    </row>
    <row r="87" spans="1:6" ht="15">
      <c r="A87" s="54">
        <v>6551</v>
      </c>
      <c r="B87" s="63" t="s">
        <v>89</v>
      </c>
      <c r="C87" s="132">
        <v>10018000</v>
      </c>
      <c r="D87" s="132">
        <v>10018000</v>
      </c>
      <c r="E87" s="1"/>
      <c r="F87" s="1"/>
    </row>
    <row r="88" spans="1:6" ht="15">
      <c r="A88" s="54">
        <v>6552</v>
      </c>
      <c r="B88" s="63" t="s">
        <v>91</v>
      </c>
      <c r="C88" s="147">
        <v>19250000</v>
      </c>
      <c r="D88" s="147">
        <v>19250000</v>
      </c>
      <c r="E88" s="1"/>
      <c r="F88" s="1"/>
    </row>
    <row r="89" spans="1:6" ht="16.5">
      <c r="A89" s="54">
        <v>6552</v>
      </c>
      <c r="B89" s="63" t="s">
        <v>305</v>
      </c>
      <c r="C89" s="67"/>
      <c r="D89" s="67"/>
      <c r="E89" s="1"/>
      <c r="F89" s="1"/>
    </row>
    <row r="90" spans="1:6" ht="16.5">
      <c r="A90" s="54">
        <v>6552</v>
      </c>
      <c r="B90" s="148" t="s">
        <v>306</v>
      </c>
      <c r="C90" s="67"/>
      <c r="D90" s="67"/>
      <c r="E90" s="1"/>
      <c r="F90" s="1"/>
    </row>
    <row r="91" spans="1:6" ht="15">
      <c r="A91" s="54">
        <v>6599</v>
      </c>
      <c r="B91" s="63" t="s">
        <v>95</v>
      </c>
      <c r="C91" s="132">
        <v>11864000</v>
      </c>
      <c r="D91" s="132">
        <v>11864000</v>
      </c>
      <c r="E91" s="1"/>
      <c r="F91" s="1"/>
    </row>
    <row r="92" spans="1:6" ht="14.25">
      <c r="A92" s="252" t="s">
        <v>97</v>
      </c>
      <c r="B92" s="252"/>
      <c r="C92" s="56">
        <f>SUM(C93:C95)</f>
        <v>2970000</v>
      </c>
      <c r="D92" s="56">
        <f>SUM(D93:D95)</f>
        <v>2970000</v>
      </c>
      <c r="E92" s="1"/>
      <c r="F92" s="1"/>
    </row>
    <row r="93" spans="1:6" ht="15">
      <c r="A93" s="54">
        <v>6601</v>
      </c>
      <c r="B93" s="63" t="s">
        <v>98</v>
      </c>
      <c r="C93" s="132">
        <v>66000</v>
      </c>
      <c r="D93" s="132">
        <v>66000</v>
      </c>
      <c r="E93" s="1"/>
      <c r="F93" s="1"/>
    </row>
    <row r="94" spans="1:6" ht="15">
      <c r="A94" s="54">
        <v>6605</v>
      </c>
      <c r="B94" s="63" t="s">
        <v>100</v>
      </c>
      <c r="C94" s="132">
        <v>1704000</v>
      </c>
      <c r="D94" s="132">
        <v>1704000</v>
      </c>
      <c r="E94" s="1"/>
      <c r="F94" s="1"/>
    </row>
    <row r="95" spans="1:6" ht="15">
      <c r="A95" s="54">
        <v>6618</v>
      </c>
      <c r="B95" s="63" t="s">
        <v>102</v>
      </c>
      <c r="C95" s="132">
        <v>1200000</v>
      </c>
      <c r="D95" s="132">
        <v>1200000</v>
      </c>
      <c r="E95" s="1"/>
      <c r="F95" s="1"/>
    </row>
    <row r="96" spans="1:6" ht="14.25">
      <c r="A96" s="252" t="s">
        <v>104</v>
      </c>
      <c r="B96" s="252"/>
      <c r="C96" s="56">
        <f>SUM(C97:C98)</f>
        <v>0</v>
      </c>
      <c r="D96" s="56">
        <f>SUM(D97:D98)</f>
        <v>0</v>
      </c>
      <c r="E96" s="1"/>
      <c r="F96" s="1"/>
    </row>
    <row r="97" spans="1:6" ht="15">
      <c r="A97" s="54">
        <v>6657</v>
      </c>
      <c r="B97" s="63" t="s">
        <v>105</v>
      </c>
      <c r="C97" s="132"/>
      <c r="D97" s="132"/>
      <c r="E97" s="1"/>
      <c r="F97" s="1"/>
    </row>
    <row r="98" spans="1:6" ht="15">
      <c r="A98" s="54">
        <v>6699</v>
      </c>
      <c r="B98" s="55" t="s">
        <v>106</v>
      </c>
      <c r="C98" s="132"/>
      <c r="D98" s="132"/>
      <c r="E98" s="1"/>
      <c r="F98" s="1"/>
    </row>
    <row r="99" spans="1:6" ht="24.75" customHeight="1">
      <c r="A99" s="252" t="s">
        <v>107</v>
      </c>
      <c r="B99" s="252"/>
      <c r="C99" s="56">
        <f>SUM(C100:C103)</f>
        <v>4305200</v>
      </c>
      <c r="D99" s="56">
        <f>SUM(D100:D103)</f>
        <v>4305200</v>
      </c>
      <c r="E99" s="1"/>
      <c r="F99" s="1"/>
    </row>
    <row r="100" spans="1:6" ht="24.75" customHeight="1">
      <c r="A100" s="54">
        <v>6701</v>
      </c>
      <c r="B100" s="55" t="s">
        <v>108</v>
      </c>
      <c r="C100" s="132">
        <v>65200</v>
      </c>
      <c r="D100" s="132">
        <v>65200</v>
      </c>
      <c r="E100" s="1"/>
      <c r="F100" s="1"/>
    </row>
    <row r="101" spans="1:6" ht="24.75" customHeight="1">
      <c r="A101" s="54">
        <v>6702</v>
      </c>
      <c r="B101" s="55" t="s">
        <v>110</v>
      </c>
      <c r="C101" s="132">
        <v>1240000</v>
      </c>
      <c r="D101" s="132">
        <v>1240000</v>
      </c>
      <c r="E101" s="1"/>
      <c r="F101" s="1"/>
    </row>
    <row r="102" spans="1:6" ht="24.75" customHeight="1">
      <c r="A102" s="54">
        <v>6703</v>
      </c>
      <c r="B102" s="55" t="s">
        <v>112</v>
      </c>
      <c r="C102" s="132"/>
      <c r="D102" s="132"/>
      <c r="E102" s="1"/>
      <c r="F102" s="1"/>
    </row>
    <row r="103" spans="1:6" ht="24.75" customHeight="1">
      <c r="A103" s="54">
        <v>6704</v>
      </c>
      <c r="B103" s="63" t="s">
        <v>114</v>
      </c>
      <c r="C103" s="132">
        <v>3000000</v>
      </c>
      <c r="D103" s="132">
        <v>3000000</v>
      </c>
      <c r="E103" s="1"/>
      <c r="F103" s="1"/>
    </row>
    <row r="104" spans="1:6" ht="24.75" customHeight="1">
      <c r="A104" s="252" t="s">
        <v>116</v>
      </c>
      <c r="B104" s="252"/>
      <c r="C104" s="56">
        <f>SUM(C105:C108)</f>
        <v>117837000</v>
      </c>
      <c r="D104" s="56">
        <f>SUM(D105:D108)</f>
        <v>117837000</v>
      </c>
      <c r="E104" s="1"/>
      <c r="F104" s="1"/>
    </row>
    <row r="105" spans="1:6" ht="15">
      <c r="A105" s="54">
        <v>6751</v>
      </c>
      <c r="B105" s="55" t="s">
        <v>117</v>
      </c>
      <c r="C105" s="42">
        <v>7300000</v>
      </c>
      <c r="D105" s="42">
        <v>7300000</v>
      </c>
      <c r="E105" s="1"/>
      <c r="F105" s="1"/>
    </row>
    <row r="106" spans="1:14" s="3" customFormat="1" ht="22.5" customHeight="1">
      <c r="A106" s="54">
        <v>6757</v>
      </c>
      <c r="B106" s="59" t="s">
        <v>119</v>
      </c>
      <c r="C106" s="43">
        <v>78897000</v>
      </c>
      <c r="D106" s="43">
        <v>78897000</v>
      </c>
      <c r="E106" s="2"/>
      <c r="F106" s="2"/>
      <c r="K106" s="30"/>
      <c r="L106" s="30"/>
      <c r="M106" s="30"/>
      <c r="N106" s="30"/>
    </row>
    <row r="107" spans="1:6" ht="22.5" customHeight="1">
      <c r="A107" s="54">
        <v>6758</v>
      </c>
      <c r="B107" s="59" t="s">
        <v>122</v>
      </c>
      <c r="C107" s="43"/>
      <c r="D107" s="43"/>
      <c r="E107" s="1"/>
      <c r="F107" s="1"/>
    </row>
    <row r="108" spans="1:6" ht="22.5" customHeight="1">
      <c r="A108" s="131">
        <v>6799</v>
      </c>
      <c r="B108" s="149" t="s">
        <v>307</v>
      </c>
      <c r="C108" s="42">
        <v>31640000</v>
      </c>
      <c r="D108" s="42">
        <v>31640000</v>
      </c>
      <c r="E108" s="1"/>
      <c r="F108" s="1"/>
    </row>
    <row r="109" spans="1:6" ht="22.5" customHeight="1">
      <c r="A109" s="252" t="s">
        <v>126</v>
      </c>
      <c r="B109" s="252"/>
      <c r="C109" s="56">
        <f>SUM(C110:C114)</f>
        <v>22625000</v>
      </c>
      <c r="D109" s="56">
        <f>SUM(D110:D114)</f>
        <v>22625000</v>
      </c>
      <c r="E109" s="1"/>
      <c r="F109" s="1"/>
    </row>
    <row r="110" spans="1:6" ht="22.5" customHeight="1">
      <c r="A110" s="54">
        <v>6907</v>
      </c>
      <c r="B110" s="55" t="s">
        <v>127</v>
      </c>
      <c r="C110" s="132"/>
      <c r="D110" s="132"/>
      <c r="E110" s="1"/>
      <c r="F110" s="1"/>
    </row>
    <row r="111" spans="1:6" ht="22.5" customHeight="1">
      <c r="A111" s="54">
        <v>6912</v>
      </c>
      <c r="B111" s="55" t="s">
        <v>129</v>
      </c>
      <c r="C111" s="132"/>
      <c r="D111" s="132"/>
      <c r="E111" s="1"/>
      <c r="F111" s="1"/>
    </row>
    <row r="112" spans="1:6" ht="22.5" customHeight="1">
      <c r="A112" s="54">
        <v>6913</v>
      </c>
      <c r="B112" s="55" t="s">
        <v>131</v>
      </c>
      <c r="C112" s="132"/>
      <c r="D112" s="132"/>
      <c r="E112" s="1"/>
      <c r="F112" s="1"/>
    </row>
    <row r="113" spans="1:14" s="3" customFormat="1" ht="15">
      <c r="A113" s="54">
        <v>6921</v>
      </c>
      <c r="B113" s="55" t="s">
        <v>132</v>
      </c>
      <c r="C113" s="132"/>
      <c r="D113" s="132"/>
      <c r="E113" s="2"/>
      <c r="F113" s="2"/>
      <c r="K113" s="30"/>
      <c r="L113" s="30"/>
      <c r="M113" s="30"/>
      <c r="N113" s="30"/>
    </row>
    <row r="114" spans="1:6" ht="15">
      <c r="A114" s="54">
        <v>6949</v>
      </c>
      <c r="B114" s="55" t="s">
        <v>134</v>
      </c>
      <c r="C114" s="132">
        <v>22625000</v>
      </c>
      <c r="D114" s="132">
        <v>22625000</v>
      </c>
      <c r="E114" s="1"/>
      <c r="F114" s="1"/>
    </row>
    <row r="115" spans="1:6" ht="14.25">
      <c r="A115" s="252" t="s">
        <v>136</v>
      </c>
      <c r="B115" s="252"/>
      <c r="C115" s="56">
        <f>SUM(C116:C120)</f>
        <v>44050000</v>
      </c>
      <c r="D115" s="56">
        <f>SUM(D116:D120)</f>
        <v>44050000</v>
      </c>
      <c r="E115" s="1"/>
      <c r="F115" s="1"/>
    </row>
    <row r="116" spans="1:6" ht="30.75" customHeight="1">
      <c r="A116" s="54">
        <v>7001</v>
      </c>
      <c r="B116" s="55" t="s">
        <v>137</v>
      </c>
      <c r="C116" s="42">
        <v>16330000</v>
      </c>
      <c r="D116" s="42">
        <v>16330000</v>
      </c>
      <c r="E116" s="1"/>
      <c r="F116" s="1"/>
    </row>
    <row r="117" spans="1:6" ht="30.75" customHeight="1">
      <c r="A117" s="54">
        <v>7004</v>
      </c>
      <c r="B117" s="59" t="s">
        <v>308</v>
      </c>
      <c r="C117" s="44"/>
      <c r="D117" s="44"/>
      <c r="E117" s="1"/>
      <c r="F117" s="1"/>
    </row>
    <row r="118" spans="1:6" ht="30.75" customHeight="1">
      <c r="A118" s="54">
        <v>7049</v>
      </c>
      <c r="B118" s="55" t="s">
        <v>309</v>
      </c>
      <c r="C118" s="43"/>
      <c r="D118" s="43"/>
      <c r="E118" s="1"/>
      <c r="F118" s="1"/>
    </row>
    <row r="119" spans="1:6" ht="30.75" customHeight="1">
      <c r="A119" s="54">
        <v>7049</v>
      </c>
      <c r="B119" s="55" t="s">
        <v>50</v>
      </c>
      <c r="C119" s="44"/>
      <c r="D119" s="44"/>
      <c r="E119" s="1"/>
      <c r="F119" s="1"/>
    </row>
    <row r="120" spans="1:6" ht="15">
      <c r="A120" s="54">
        <v>7049</v>
      </c>
      <c r="B120" s="55" t="s">
        <v>144</v>
      </c>
      <c r="C120" s="44">
        <v>27720000</v>
      </c>
      <c r="D120" s="44">
        <v>27720000</v>
      </c>
      <c r="E120" s="1"/>
      <c r="F120" s="1"/>
    </row>
    <row r="121" spans="1:6" ht="14.25">
      <c r="A121" s="252" t="s">
        <v>146</v>
      </c>
      <c r="B121" s="252"/>
      <c r="C121" s="56">
        <f>C122</f>
        <v>5600000</v>
      </c>
      <c r="D121" s="56">
        <f>D122</f>
        <v>5600000</v>
      </c>
      <c r="E121" s="1"/>
      <c r="F121" s="1"/>
    </row>
    <row r="122" spans="1:6" ht="26.25">
      <c r="A122" s="54">
        <v>7053</v>
      </c>
      <c r="B122" s="70" t="s">
        <v>147</v>
      </c>
      <c r="C122" s="42">
        <v>5600000</v>
      </c>
      <c r="D122" s="42">
        <v>5600000</v>
      </c>
      <c r="E122" s="1"/>
      <c r="F122" s="1"/>
    </row>
    <row r="123" spans="1:6" ht="14.25">
      <c r="A123" s="154"/>
      <c r="B123" s="154" t="s">
        <v>149</v>
      </c>
      <c r="C123" s="72">
        <f>SUM(C124:C130)</f>
        <v>10081200</v>
      </c>
      <c r="D123" s="72">
        <f>SUM(D124:D130)</f>
        <v>10081200</v>
      </c>
      <c r="E123" s="1"/>
      <c r="F123" s="1"/>
    </row>
    <row r="124" spans="1:6" ht="15">
      <c r="A124" s="54"/>
      <c r="B124" s="69" t="s">
        <v>50</v>
      </c>
      <c r="C124" s="73"/>
      <c r="D124" s="73"/>
      <c r="E124" s="1"/>
      <c r="F124" s="1"/>
    </row>
    <row r="125" spans="1:6" ht="15">
      <c r="A125" s="54">
        <v>7756</v>
      </c>
      <c r="B125" s="46" t="s">
        <v>47</v>
      </c>
      <c r="C125" s="42">
        <v>431200</v>
      </c>
      <c r="D125" s="42">
        <v>431200</v>
      </c>
      <c r="E125" s="1"/>
      <c r="F125" s="1"/>
    </row>
    <row r="126" spans="1:6" ht="15">
      <c r="A126" s="54">
        <v>7761</v>
      </c>
      <c r="B126" s="46" t="s">
        <v>48</v>
      </c>
      <c r="C126" s="42"/>
      <c r="D126" s="42"/>
      <c r="E126" s="1"/>
      <c r="F126" s="1"/>
    </row>
    <row r="127" spans="1:6" ht="15">
      <c r="A127" s="54">
        <v>7764</v>
      </c>
      <c r="B127" s="46" t="s">
        <v>310</v>
      </c>
      <c r="C127" s="43"/>
      <c r="D127" s="43"/>
      <c r="E127" s="1"/>
      <c r="F127" s="1"/>
    </row>
    <row r="128" spans="1:6" ht="15">
      <c r="A128" s="54">
        <v>7764</v>
      </c>
      <c r="B128" s="46" t="s">
        <v>311</v>
      </c>
      <c r="C128" s="43"/>
      <c r="D128" s="43"/>
      <c r="E128" s="1"/>
      <c r="F128" s="1"/>
    </row>
    <row r="129" spans="1:6" ht="15">
      <c r="A129" s="54">
        <v>7799</v>
      </c>
      <c r="B129" s="46" t="s">
        <v>312</v>
      </c>
      <c r="C129" s="44">
        <v>9650000</v>
      </c>
      <c r="D129" s="44">
        <v>9650000</v>
      </c>
      <c r="E129" s="1"/>
      <c r="F129" s="1"/>
    </row>
    <row r="130" spans="1:6" ht="15">
      <c r="A130" s="54">
        <v>7799</v>
      </c>
      <c r="B130" s="46" t="s">
        <v>50</v>
      </c>
      <c r="C130" s="43"/>
      <c r="D130" s="43"/>
      <c r="E130" s="1"/>
      <c r="F130" s="1"/>
    </row>
    <row r="131" spans="1:6" ht="15">
      <c r="A131" s="54"/>
      <c r="B131" s="74" t="s">
        <v>156</v>
      </c>
      <c r="C131" s="56">
        <v>600000</v>
      </c>
      <c r="D131" s="56">
        <v>600000</v>
      </c>
      <c r="E131" s="1"/>
      <c r="F131" s="1"/>
    </row>
    <row r="132" spans="1:6" ht="15">
      <c r="A132" s="54">
        <v>7899</v>
      </c>
      <c r="B132" s="46" t="s">
        <v>157</v>
      </c>
      <c r="C132" s="42"/>
      <c r="D132" s="42"/>
      <c r="E132" s="1"/>
      <c r="F132" s="1"/>
    </row>
    <row r="133" spans="1:6" ht="20.25">
      <c r="A133" s="54"/>
      <c r="B133" s="150" t="s">
        <v>278</v>
      </c>
      <c r="C133" s="158">
        <f>C52</f>
        <v>1508192699</v>
      </c>
      <c r="D133" s="158">
        <f>D52</f>
        <v>1508192699</v>
      </c>
      <c r="E133" s="1"/>
      <c r="F133" s="1"/>
    </row>
    <row r="134" spans="1:6" ht="15.75">
      <c r="A134" s="99"/>
      <c r="B134" s="151" t="s">
        <v>160</v>
      </c>
      <c r="C134" s="76"/>
      <c r="D134" s="76"/>
      <c r="E134" s="1"/>
      <c r="F134" s="1"/>
    </row>
    <row r="135" spans="1:6" ht="15">
      <c r="A135" s="54"/>
      <c r="B135" s="75"/>
      <c r="C135" s="76"/>
      <c r="D135" s="76"/>
      <c r="E135" s="1"/>
      <c r="F135" s="1"/>
    </row>
    <row r="136" spans="1:6" ht="15">
      <c r="A136" s="54"/>
      <c r="B136" s="75"/>
      <c r="C136" s="76"/>
      <c r="D136" s="76"/>
      <c r="E136" s="1"/>
      <c r="F136" s="1"/>
    </row>
    <row r="137" spans="1:6" ht="11.25" customHeight="1">
      <c r="A137" s="54"/>
      <c r="B137" s="69" t="s">
        <v>162</v>
      </c>
      <c r="C137" s="77"/>
      <c r="D137" s="77"/>
      <c r="E137" s="1"/>
      <c r="F137" s="1"/>
    </row>
    <row r="138" spans="1:6" ht="15">
      <c r="A138" s="54"/>
      <c r="B138" s="69" t="s">
        <v>313</v>
      </c>
      <c r="C138" s="77"/>
      <c r="D138" s="77"/>
      <c r="E138" s="164"/>
      <c r="F138" s="164"/>
    </row>
    <row r="139" spans="1:6" ht="14.25">
      <c r="A139" s="27"/>
      <c r="B139" s="155" t="s">
        <v>52</v>
      </c>
      <c r="C139" s="80">
        <f>SUM(C140:C140)</f>
        <v>0</v>
      </c>
      <c r="D139" s="80">
        <f>SUM(D140:D140)</f>
        <v>0</v>
      </c>
      <c r="E139" s="164"/>
      <c r="F139" s="164"/>
    </row>
    <row r="140" spans="1:6" ht="15">
      <c r="A140" s="54">
        <v>6001</v>
      </c>
      <c r="B140" s="55" t="s">
        <v>284</v>
      </c>
      <c r="C140" s="40"/>
      <c r="D140" s="40"/>
      <c r="E140" s="164"/>
      <c r="F140" s="164"/>
    </row>
    <row r="141" spans="1:6" ht="14.25">
      <c r="A141" s="252" t="s">
        <v>57</v>
      </c>
      <c r="B141" s="252"/>
      <c r="C141" s="56">
        <f>SUM(C142:C145)</f>
        <v>0</v>
      </c>
      <c r="D141" s="56">
        <f>SUM(D142:D145)</f>
        <v>0</v>
      </c>
      <c r="E141" s="164"/>
      <c r="F141" s="164"/>
    </row>
    <row r="142" spans="1:6" ht="15">
      <c r="A142" s="54">
        <v>6101</v>
      </c>
      <c r="B142" s="46" t="s">
        <v>287</v>
      </c>
      <c r="C142" s="40"/>
      <c r="D142" s="40"/>
      <c r="E142" s="164"/>
      <c r="F142" s="164"/>
    </row>
    <row r="143" spans="1:6" ht="15">
      <c r="A143" s="54">
        <v>6112</v>
      </c>
      <c r="B143" s="46" t="s">
        <v>289</v>
      </c>
      <c r="C143" s="40"/>
      <c r="D143" s="40"/>
      <c r="E143" s="164"/>
      <c r="F143" s="164"/>
    </row>
    <row r="144" spans="1:6" ht="15">
      <c r="A144" s="54">
        <v>6113</v>
      </c>
      <c r="B144" s="46" t="s">
        <v>291</v>
      </c>
      <c r="C144" s="40"/>
      <c r="D144" s="40"/>
      <c r="E144" s="164"/>
      <c r="F144" s="164"/>
    </row>
    <row r="145" spans="1:6" ht="26.25">
      <c r="A145" s="54">
        <v>6115</v>
      </c>
      <c r="B145" s="146" t="s">
        <v>293</v>
      </c>
      <c r="C145" s="40"/>
      <c r="D145" s="40"/>
      <c r="E145" s="164"/>
      <c r="F145" s="164"/>
    </row>
    <row r="146" spans="1:6" ht="15.75" customHeight="1">
      <c r="A146" s="252" t="s">
        <v>294</v>
      </c>
      <c r="B146" s="252"/>
      <c r="C146" s="56">
        <f>SUM(C147:C150)</f>
        <v>0</v>
      </c>
      <c r="D146" s="56">
        <f>SUM(D147:D150)</f>
        <v>0</v>
      </c>
      <c r="E146" s="164"/>
      <c r="F146" s="164"/>
    </row>
    <row r="147" spans="1:6" ht="15">
      <c r="A147" s="54">
        <v>6301</v>
      </c>
      <c r="B147" s="59" t="s">
        <v>299</v>
      </c>
      <c r="C147" s="40"/>
      <c r="D147" s="40"/>
      <c r="E147" s="164"/>
      <c r="F147" s="164"/>
    </row>
    <row r="148" spans="1:6" ht="15">
      <c r="A148" s="54">
        <v>6302</v>
      </c>
      <c r="B148" s="59" t="s">
        <v>300</v>
      </c>
      <c r="C148" s="40"/>
      <c r="D148" s="40"/>
      <c r="E148" s="164"/>
      <c r="F148" s="164"/>
    </row>
    <row r="149" spans="1:6" ht="15">
      <c r="A149" s="54">
        <v>6303</v>
      </c>
      <c r="B149" s="59" t="s">
        <v>301</v>
      </c>
      <c r="C149" s="40"/>
      <c r="D149" s="40"/>
      <c r="E149" s="164"/>
      <c r="F149" s="164"/>
    </row>
    <row r="150" spans="1:6" ht="15">
      <c r="A150" s="54">
        <v>6304</v>
      </c>
      <c r="B150" s="59" t="s">
        <v>302</v>
      </c>
      <c r="C150" s="40"/>
      <c r="D150" s="40"/>
      <c r="E150" s="164"/>
      <c r="F150" s="164"/>
    </row>
    <row r="151" spans="1:6" ht="19.5">
      <c r="A151" s="54"/>
      <c r="B151" s="152" t="s">
        <v>278</v>
      </c>
      <c r="C151" s="153">
        <f>C139+C141+C146</f>
        <v>0</v>
      </c>
      <c r="D151" s="153">
        <f>D139+D141+D146</f>
        <v>0</v>
      </c>
      <c r="E151" s="164"/>
      <c r="F151" s="164"/>
    </row>
    <row r="152" spans="1:6" ht="15.75">
      <c r="A152" s="78"/>
      <c r="B152" s="78" t="s">
        <v>314</v>
      </c>
      <c r="C152" s="79">
        <f>C52+C134+C151</f>
        <v>1508192699</v>
      </c>
      <c r="D152" s="79">
        <f>D52+D134+D151</f>
        <v>1508192699</v>
      </c>
      <c r="E152" s="164"/>
      <c r="F152" s="164"/>
    </row>
    <row r="153" spans="1:6" ht="15.75">
      <c r="A153" s="78"/>
      <c r="B153" s="78" t="s">
        <v>165</v>
      </c>
      <c r="C153" s="79">
        <f>ROUND((C48+C152),0)</f>
        <v>1691141609</v>
      </c>
      <c r="D153" s="79">
        <f>ROUND((D48+D152),0)</f>
        <v>1691141609</v>
      </c>
      <c r="E153" s="164"/>
      <c r="F153" s="164"/>
    </row>
    <row r="154" spans="2:6" ht="15">
      <c r="B154" s="25"/>
      <c r="D154" s="228" t="s">
        <v>315</v>
      </c>
      <c r="E154" s="228"/>
      <c r="F154" s="228"/>
    </row>
    <row r="155" spans="2:6" ht="12.75">
      <c r="B155" s="32" t="s">
        <v>30</v>
      </c>
      <c r="D155" s="217" t="s">
        <v>5</v>
      </c>
      <c r="E155" s="217"/>
      <c r="F155" s="253"/>
    </row>
    <row r="156" ht="15.75">
      <c r="B156" s="7"/>
    </row>
    <row r="157" ht="15">
      <c r="B157" s="25"/>
    </row>
    <row r="158" ht="15">
      <c r="B158" s="25"/>
    </row>
    <row r="159" ht="15">
      <c r="B159" s="25"/>
    </row>
    <row r="160" ht="15">
      <c r="B160" s="25"/>
    </row>
    <row r="161" ht="15">
      <c r="B161" s="25"/>
    </row>
    <row r="162" spans="2:6" ht="15.75">
      <c r="B162" s="104" t="s">
        <v>227</v>
      </c>
      <c r="D162" s="229" t="s">
        <v>23</v>
      </c>
      <c r="E162" s="229"/>
      <c r="F162" s="254"/>
    </row>
    <row r="163" ht="15">
      <c r="B163" s="25"/>
    </row>
  </sheetData>
  <sheetProtection/>
  <mergeCells count="36">
    <mergeCell ref="D154:F154"/>
    <mergeCell ref="D155:F155"/>
    <mergeCell ref="D162:F162"/>
    <mergeCell ref="A141:B141"/>
    <mergeCell ref="A146:B146"/>
    <mergeCell ref="C49:C50"/>
    <mergeCell ref="D49:D50"/>
    <mergeCell ref="A96:B96"/>
    <mergeCell ref="A99:B99"/>
    <mergeCell ref="A104:B104"/>
    <mergeCell ref="A109:B109"/>
    <mergeCell ref="A115:B115"/>
    <mergeCell ref="A121:B121"/>
    <mergeCell ref="A60:B60"/>
    <mergeCell ref="A69:B69"/>
    <mergeCell ref="A79:B79"/>
    <mergeCell ref="A83:B83"/>
    <mergeCell ref="A86:B86"/>
    <mergeCell ref="A92:B92"/>
    <mergeCell ref="E11:E12"/>
    <mergeCell ref="A18:B18"/>
    <mergeCell ref="A21:B21"/>
    <mergeCell ref="A28:B28"/>
    <mergeCell ref="A39:B39"/>
    <mergeCell ref="A49:A50"/>
    <mergeCell ref="B49:B50"/>
    <mergeCell ref="F11:F12"/>
    <mergeCell ref="A55:B55"/>
    <mergeCell ref="A2:F2"/>
    <mergeCell ref="A7:F7"/>
    <mergeCell ref="A11:A12"/>
    <mergeCell ref="B11:B12"/>
    <mergeCell ref="A8:F8"/>
    <mergeCell ref="C11:C12"/>
    <mergeCell ref="D11:D12"/>
    <mergeCell ref="A9:F9"/>
  </mergeCells>
  <printOptions/>
  <pageMargins left="0.3937007874015748" right="0"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2" sqref="A12"/>
    </sheetView>
  </sheetViews>
  <sheetFormatPr defaultColWidth="9.140625" defaultRowHeight="12.75"/>
  <cols>
    <col min="1" max="1" width="89.00390625" style="0" customWidth="1"/>
  </cols>
  <sheetData>
    <row r="1" ht="97.5" customHeight="1" thickBot="1">
      <c r="A1" s="108" t="s">
        <v>238</v>
      </c>
    </row>
  </sheetData>
  <sheetProtection/>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dien</dc:creator>
  <cp:keywords/>
  <dc:description/>
  <cp:lastModifiedBy>User</cp:lastModifiedBy>
  <cp:lastPrinted>2021-05-10T09:00:28Z</cp:lastPrinted>
  <dcterms:created xsi:type="dcterms:W3CDTF">2010-10-13T07:14:59Z</dcterms:created>
  <dcterms:modified xsi:type="dcterms:W3CDTF">2021-11-04T13:47:42Z</dcterms:modified>
  <cp:category/>
  <cp:version/>
  <cp:contentType/>
  <cp:contentStatus/>
</cp:coreProperties>
</file>