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bieu 2-TT90" sheetId="1" r:id="rId1"/>
    <sheet name="bieu4-nguon khac" sheetId="2" r:id="rId2"/>
    <sheet name="bieu 3 Q1" sheetId="3" r:id="rId3"/>
    <sheet name="bieu 4 QI" sheetId="4" r:id="rId4"/>
    <sheet name="Sheet1" sheetId="5" r:id="rId5"/>
  </sheets>
  <definedNames>
    <definedName name="_xlnm.Print_Titles" localSheetId="2">'bieu 3 Q1'!$11:$12</definedName>
    <definedName name="_xlnm.Print_Titles" localSheetId="3">'bieu 4 QI'!$11:$12</definedName>
  </definedNames>
  <calcPr fullCalcOnLoad="1"/>
</workbook>
</file>

<file path=xl/sharedStrings.xml><?xml version="1.0" encoding="utf-8"?>
<sst xmlns="http://schemas.openxmlformats.org/spreadsheetml/2006/main" count="723" uniqueCount="358">
  <si>
    <t>TT</t>
  </si>
  <si>
    <t xml:space="preserve">Dự toán được giao </t>
  </si>
  <si>
    <t>I</t>
  </si>
  <si>
    <t>II</t>
  </si>
  <si>
    <t>Dự toán chi ngân sách nhà Nước</t>
  </si>
  <si>
    <t xml:space="preserve">THỦ TRƯỞNG ĐƠN VỊ </t>
  </si>
  <si>
    <t xml:space="preserve">Số liệu báo cáo
quyết toán </t>
  </si>
  <si>
    <t xml:space="preserve">Tiền quỹ nhân đạo </t>
  </si>
  <si>
    <t>Nội dung</t>
  </si>
  <si>
    <t>( Dùng cho đơn vị sử dụng ngân sách )</t>
  </si>
  <si>
    <t xml:space="preserve">Chi cho sư nghiệp giáo dục , đào tạo </t>
  </si>
  <si>
    <t xml:space="preserve">Dự toán 
năm </t>
  </si>
  <si>
    <t xml:space="preserve">CHƯƠNG : 622 , LOẠI:490                                                </t>
  </si>
  <si>
    <t xml:space="preserve">Số liệu 
quyết toán 
được duyệt </t>
  </si>
  <si>
    <t xml:space="preserve">CÔNG KHAI </t>
  </si>
  <si>
    <t xml:space="preserve">                                                                    Đvt:  dồng </t>
  </si>
  <si>
    <t xml:space="preserve">ĐƠN VI : TH AN ĐIỀN                                             </t>
  </si>
  <si>
    <t xml:space="preserve">Kinh phí tự chủ : </t>
  </si>
  <si>
    <t xml:space="preserve">Bổ sung chênh lệch lương tối thiểu </t>
  </si>
  <si>
    <t>Hoạt động thường xuyên,sửa chữa thường xuyên</t>
  </si>
  <si>
    <t xml:space="preserve">Kinh phí không tự chủ : </t>
  </si>
  <si>
    <t xml:space="preserve">ĐƠN VI : TH AN ĐIỀN                                                  </t>
  </si>
  <si>
    <t>Ước thực
hiện</t>
  </si>
  <si>
    <t xml:space="preserve">TRẦN QUANG KIỆT </t>
  </si>
  <si>
    <t xml:space="preserve">                                                                    Đvt: dồng </t>
  </si>
  <si>
    <t>Thu</t>
  </si>
  <si>
    <t xml:space="preserve">Tồn kỳ trước </t>
  </si>
  <si>
    <t xml:space="preserve">Chi </t>
  </si>
  <si>
    <t xml:space="preserve">Tồn </t>
  </si>
  <si>
    <t xml:space="preserve">Ghi chú </t>
  </si>
  <si>
    <t xml:space="preserve">LẬP BẢNG </t>
  </si>
  <si>
    <t xml:space="preserve">                                             Đvt:  dồng </t>
  </si>
  <si>
    <t xml:space="preserve">       Biểu số :04 - ban hành kèm theo thông tư số 90/2018/TT-BTC ngày 28 tháng 09 năm 2018 của Bộ Tài chính </t>
  </si>
  <si>
    <t>chênh
 lệch</t>
  </si>
  <si>
    <r>
      <t xml:space="preserve">Số quyết toán được duyệt chi tiết từng đơn vị trực thuộc </t>
    </r>
    <r>
      <rPr>
        <sz val="10"/>
        <rFont val="Arial"/>
        <family val="0"/>
      </rPr>
      <t>(nếu có đơn vị t rực thuộc)</t>
    </r>
  </si>
  <si>
    <t xml:space="preserve">                Biểu số :03 - Ban hành kèm theo thông tư số 90 ngày 28 tháng 09 năm 2018 của Bộ Tài chính </t>
  </si>
  <si>
    <t>CỘNG HOÀ XÃ HỘI CHỦ NGHĨA VIỆT NAM</t>
  </si>
  <si>
    <t>Độc lập - Tự do - Hạnh phúc</t>
  </si>
  <si>
    <t xml:space="preserve">   Căn cứ Nghị định số 163/2016 NĐ-CP ngày 21 tháng 12 năm 2016 của Chính phủ quy định chi tiết thi hành một số điều của Luật Ngân sách nhà nước;</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</si>
  <si>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</si>
  <si>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 xml:space="preserve">ĐƠN VI : TH  AN ĐIỀN                                   </t>
  </si>
  <si>
    <t xml:space="preserve">Ước Thực
hiện/ Dự toán năm
( tỷ lệ %) </t>
  </si>
  <si>
    <t xml:space="preserve">    Biểu số :02 - ban hành kèm theo thông tư số 90/2018/TT-BTC ngày 28 tháng 09 năm 2018 của Bộ Tài chính </t>
  </si>
  <si>
    <t xml:space="preserve">Tổng kinh phí ngân sách nhà nước cấp </t>
  </si>
  <si>
    <t xml:space="preserve">              THỦ TRƯỞNG ĐƠN VỊ </t>
  </si>
  <si>
    <t>Ước Thực
hiện  năm nay so với cùng kỳ năm trước 
( tỷ lệ%)</t>
  </si>
  <si>
    <t>Chi tiền phí ATM</t>
  </si>
  <si>
    <t>Chi tiếp khách</t>
  </si>
  <si>
    <t xml:space="preserve">Trích lập quỹ khen thưởng </t>
  </si>
  <si>
    <t xml:space="preserve">Chi khác </t>
  </si>
  <si>
    <t xml:space="preserve">  DỰ TOÁN THU - CHI ĐIỀU CHỈNH NGÂN SÁCH NHÀ NƯỚC, NGUỒN KHÁC  </t>
  </si>
  <si>
    <t xml:space="preserve"> Tiền Lương</t>
  </si>
  <si>
    <t xml:space="preserve"> Lương theo ngạch ,bậc</t>
  </si>
  <si>
    <t>82,61*1.490*12th</t>
  </si>
  <si>
    <t>64,620*1490*12</t>
  </si>
  <si>
    <t>Tiền công trả cho hợp đồng NĐ68</t>
  </si>
  <si>
    <t xml:space="preserve"> Phụ cấp lương </t>
  </si>
  <si>
    <t xml:space="preserve">Phụ cấp CV </t>
  </si>
  <si>
    <t xml:space="preserve"> 3,05*1.490.12th</t>
  </si>
  <si>
    <t xml:space="preserve">Phụ cấp ưu đãi </t>
  </si>
  <si>
    <t xml:space="preserve"> 45,60790*1490*12</t>
  </si>
  <si>
    <t xml:space="preserve">Phụ cấp trách nhiệm </t>
  </si>
  <si>
    <t>0,2*1490*12</t>
  </si>
  <si>
    <t xml:space="preserve">Phụ cấp thâm niên </t>
  </si>
  <si>
    <t xml:space="preserve"> 21,484300*1.490*12th</t>
  </si>
  <si>
    <t xml:space="preserve"> 1,33980*1.490*12th</t>
  </si>
  <si>
    <t>BHXH</t>
  </si>
  <si>
    <t>17.5 %BHXH</t>
  </si>
  <si>
    <t xml:space="preserve"> BHYT</t>
  </si>
  <si>
    <t>3% BHYT</t>
  </si>
  <si>
    <t xml:space="preserve"> KP Công Đoàn</t>
  </si>
  <si>
    <t>2% KP Công Đoàn</t>
  </si>
  <si>
    <t>BH TN</t>
  </si>
  <si>
    <t>1% BH TN</t>
  </si>
  <si>
    <t xml:space="preserve">I .KINH PHÍ THƯỜNG XUYÊN </t>
  </si>
  <si>
    <t xml:space="preserve">I </t>
  </si>
  <si>
    <t xml:space="preserve">Thanh toán cá nhân </t>
  </si>
  <si>
    <t xml:space="preserve">II     .CHI  CÁC HOẠT ĐỘNG THƯỜNG XUYÊN </t>
  </si>
  <si>
    <t>Chi các khoản TT khác cho cá nhân</t>
  </si>
  <si>
    <t>Chi khác</t>
  </si>
  <si>
    <t>Chi  GV thể dục dạy ngoài trời .</t>
  </si>
  <si>
    <t>Chi dịch vụ công cộng</t>
  </si>
  <si>
    <t xml:space="preserve">Chi tiền điện </t>
  </si>
  <si>
    <t>Chi tiền điện 25triệu /th *12 th</t>
  </si>
  <si>
    <t xml:space="preserve">Chi tiền VSMT </t>
  </si>
  <si>
    <t xml:space="preserve">5000.000 đồng /tháng  x 12 tháng </t>
  </si>
  <si>
    <t>Chi vật tư văn phòng</t>
  </si>
  <si>
    <t>Chi văn phòng phẩm</t>
  </si>
  <si>
    <t>Chi VPP  5.000.000 th *12 th</t>
  </si>
  <si>
    <t xml:space="preserve">Chi mua CC,DC văn phòng </t>
  </si>
  <si>
    <t>Chi mua CC,DC 5.000.000 th *12th</t>
  </si>
  <si>
    <t xml:space="preserve">Mua  bàn ghế nhà ăn học sinh </t>
  </si>
  <si>
    <t>Mua 500 khay, 500muỗng, 500 chén,50 xô  bán trú</t>
  </si>
  <si>
    <t>Chi VTVP khác</t>
  </si>
  <si>
    <t>Chi VTVP khác 2.500.000 th*12</t>
  </si>
  <si>
    <t>Chi thông tin tuyên truyền</t>
  </si>
  <si>
    <t xml:space="preserve"> Cước phí điện thoại </t>
  </si>
  <si>
    <t>Chi Cước phí ĐT 2 máy 150.000 *12th</t>
  </si>
  <si>
    <t xml:space="preserve">Cước phí Internet </t>
  </si>
  <si>
    <t>Chi Cước phí Internet 568000 *12 th.</t>
  </si>
  <si>
    <t xml:space="preserve"> khoán điện thoại </t>
  </si>
  <si>
    <t>Chi khoán điện thoại 200.000*2người *12th</t>
  </si>
  <si>
    <t xml:space="preserve">Hội nghị </t>
  </si>
  <si>
    <t>Chi các khoản thuê khác phục vụ hội nghị</t>
  </si>
  <si>
    <t>Chi phí khác</t>
  </si>
  <si>
    <t>Chi công tác phí</t>
  </si>
  <si>
    <t>Tiền tàu xe</t>
  </si>
  <si>
    <t>Chi tiền tàu xe 2,500,000 x 12 th</t>
  </si>
  <si>
    <t xml:space="preserve">Phụ cấp  CTP </t>
  </si>
  <si>
    <t>Chi Phụ cấp 2,579,000 x 12 tháng</t>
  </si>
  <si>
    <t>Tiền thuê phòng ngủ</t>
  </si>
  <si>
    <t>Chi tiền phòng ngủ 500,000*12 th</t>
  </si>
  <si>
    <t xml:space="preserve"> Khoán CTP </t>
  </si>
  <si>
    <t>Chi Khoán CTP 500.000/ th*2ng*12th</t>
  </si>
  <si>
    <t>Chi Phí thuê mướn</t>
  </si>
  <si>
    <t>Thuê phương tiện vận chuyển</t>
  </si>
  <si>
    <t xml:space="preserve">1500,000 x 12 tháng </t>
  </si>
  <si>
    <t xml:space="preserve">Thuê mướn lao động trong nước </t>
  </si>
  <si>
    <t>Chi thuê 01BV 3.000.000 /th *12 th</t>
  </si>
  <si>
    <t>Chi thuê 01 CSCK*4 tr/th *12 th</t>
  </si>
  <si>
    <t xml:space="preserve"> Thuê đào tạo chuyên môn</t>
  </si>
  <si>
    <t xml:space="preserve">2,500.000 đ/tháng x 12 tháng </t>
  </si>
  <si>
    <t>Chi phí thuê mướn khác</t>
  </si>
  <si>
    <t>1.000.000 đồng /tháng x 12 th</t>
  </si>
  <si>
    <t>Chi sửa chữa thường xuyên</t>
  </si>
  <si>
    <t>Sửa chữa  nhà cửa</t>
  </si>
  <si>
    <t>2.500.000 đồng /tháng x12 th</t>
  </si>
  <si>
    <t xml:space="preserve">Sửa thiết bị công nghệ thông tin </t>
  </si>
  <si>
    <t>1000.000 đồng /tháng x12 th</t>
  </si>
  <si>
    <t xml:space="preserve">Sửa chữa tài sản ,thiết bị văn phòng </t>
  </si>
  <si>
    <t>Sửa chữa điện , cấp thoát nước</t>
  </si>
  <si>
    <t>8000,000 đồng /tháng x12 th</t>
  </si>
  <si>
    <t>Sửa chữa tài sản khác</t>
  </si>
  <si>
    <t>8,300,000 đồng /tháng x 12 th</t>
  </si>
  <si>
    <t>Chi nghiệp vụ chuyên môn</t>
  </si>
  <si>
    <t>Chi mua hàng hóa ,vật tư CM</t>
  </si>
  <si>
    <t xml:space="preserve">2,500,000 X 12 tháng </t>
  </si>
  <si>
    <t xml:space="preserve">Chi trang phục </t>
  </si>
  <si>
    <t>1,260,000 x 3 GVTD</t>
  </si>
  <si>
    <t xml:space="preserve">Chi  khác </t>
  </si>
  <si>
    <t xml:space="preserve">Chi khám sức khỏe hs 45,000 đồng /hs x 1600 hs </t>
  </si>
  <si>
    <t xml:space="preserve">Tập huấn , thi đấu HKPĐ </t>
  </si>
  <si>
    <t xml:space="preserve">Chi chuyên môn khác </t>
  </si>
  <si>
    <t>3000,000 đ/tháng x 12 th</t>
  </si>
  <si>
    <t xml:space="preserve">Chi mua sắm tài sản vô hình </t>
  </si>
  <si>
    <t>Chi mua, bảo trì phần mềm công nghệ 
tin học</t>
  </si>
  <si>
    <t xml:space="preserve">Bảo trì QLTS.2000,000 đồng ,phần mềm
kế toán misa 3000,000 đ, phần mềm trang web trường 3000,000 đồng ,phần mềm  QLHP 2,000,000 đồng .phần mềm diệt viruts máy tính .
</t>
  </si>
  <si>
    <t>CHI CÁC KHOẢN KHÁC</t>
  </si>
  <si>
    <t xml:space="preserve">150,000 x 12 tháng </t>
  </si>
  <si>
    <t xml:space="preserve">500000 x 12 tháng </t>
  </si>
  <si>
    <t xml:space="preserve">34 lớp x  400,000 /lớp </t>
  </si>
  <si>
    <t>khen thưởng giáo viên năm học 2018-2019</t>
  </si>
  <si>
    <t>Chi T H thân thiện , học sinh tích cực</t>
  </si>
  <si>
    <t xml:space="preserve">500.000 đ/tháng x 12 tháng </t>
  </si>
  <si>
    <t xml:space="preserve">Chi công tác Đảng </t>
  </si>
  <si>
    <t xml:space="preserve">Chi phụ cấp Bí thư chi bộ </t>
  </si>
  <si>
    <t xml:space="preserve">50.000 đồng /tháng * 12 tháng </t>
  </si>
  <si>
    <t>III</t>
  </si>
  <si>
    <t>KINH PHÍ CẢI CÁCH TIỀN LƯƠNG</t>
  </si>
  <si>
    <t>NGUỒN 14</t>
  </si>
  <si>
    <t xml:space="preserve">Chi cải cách tiền lương </t>
  </si>
  <si>
    <t>10% tiết kiệm CCTL</t>
  </si>
  <si>
    <t>Tổng cộng:13+14</t>
  </si>
  <si>
    <t>Tổng cộng:12+13+14</t>
  </si>
  <si>
    <t xml:space="preserve">Chi vật tư phòng chống </t>
  </si>
  <si>
    <t>dịch bệnh Covid -19</t>
  </si>
  <si>
    <t xml:space="preserve">Chi mua khẩu trang cho 1600 học sinh </t>
  </si>
  <si>
    <t xml:space="preserve">1600 cái x 7000 đồng/cái  </t>
  </si>
  <si>
    <t xml:space="preserve">Chi mua khẩu trang y tế cho giáo viên 57 gv-cvn
</t>
  </si>
  <si>
    <t xml:space="preserve"> 57 cái * 7.000 đồng/cái </t>
  </si>
  <si>
    <t xml:space="preserve">Chi mua nước rửa tay khô 
</t>
  </si>
  <si>
    <t>100 bình  * 150.000 đồng /bình</t>
  </si>
  <si>
    <t>Chi mua nước tẩy toilet</t>
  </si>
  <si>
    <t xml:space="preserve">10 thùng x 400,000 đ/thùng </t>
  </si>
  <si>
    <t xml:space="preserve">Chi mua túi đựng rác thải. </t>
  </si>
  <si>
    <t>50 kg x 40.000 đồng /kg</t>
  </si>
  <si>
    <t xml:space="preserve">Chi mua omo 400 g </t>
  </si>
  <si>
    <t>100 gói x 20,000 đồng /gói</t>
  </si>
  <si>
    <t>Chi mua nùi chùi rửa .</t>
  </si>
  <si>
    <t xml:space="preserve">50 cái  x 15,000 đồng /cái </t>
  </si>
  <si>
    <t xml:space="preserve">Chi mua găng tay y tế cho giáo viên và nhân viên 
 </t>
  </si>
  <si>
    <t xml:space="preserve"> 30 hộp * 75.000 đồng/hộp</t>
  </si>
  <si>
    <t xml:space="preserve">Chi mua cồn 70 độ dùng để sát khuẩn 
</t>
  </si>
  <si>
    <t xml:space="preserve">  20 lít *50.000 đồng /lít </t>
  </si>
  <si>
    <t xml:space="preserve">Chi mua nước rửa tay lifebuoy </t>
  </si>
  <si>
    <t xml:space="preserve">50,000 đồng/ chai x 268 chai </t>
  </si>
  <si>
    <t xml:space="preserve">Chi mua nước lau sàn Sunlight </t>
  </si>
  <si>
    <t xml:space="preserve">93,000 đồng /bình x 40 bình </t>
  </si>
  <si>
    <t>Chi mua máy đo thân nhiệt cơ thể .</t>
  </si>
  <si>
    <t xml:space="preserve">6 máy X  2,400,000 đồng /máy  </t>
  </si>
  <si>
    <t>Chi mua thùng đựng rác nhỏ bổ sung cho các lớp .</t>
  </si>
  <si>
    <t xml:space="preserve">34 cái  x 200,000 đồng/ cái  </t>
  </si>
  <si>
    <t>Chi mua một số thuốc thiết yếu và vật tư cho phòng y tế .</t>
  </si>
  <si>
    <t xml:space="preserve">Chi mua bồn rửa tay học sinh  bằng Inox 
</t>
  </si>
  <si>
    <r>
      <t xml:space="preserve">20 cái x 1,300,000 đồng </t>
    </r>
    <r>
      <rPr>
        <b/>
        <i/>
        <sz val="11"/>
        <rFont val="Times New Roman"/>
        <family val="1"/>
      </rPr>
      <t>/</t>
    </r>
    <r>
      <rPr>
        <i/>
        <sz val="11"/>
        <rFont val="Times New Roman"/>
        <family val="1"/>
      </rPr>
      <t xml:space="preserve">cái </t>
    </r>
  </si>
  <si>
    <t>Lương + các khoản theo lương</t>
  </si>
  <si>
    <t>Chi Tiền Lương</t>
  </si>
  <si>
    <t xml:space="preserve">Tiền thuê lao động trong nước </t>
  </si>
  <si>
    <t>Chi lương 4.729,400 * 8 GV *11tháng</t>
  </si>
  <si>
    <t>Chi các khoản đóng góp</t>
  </si>
  <si>
    <t>BHYT</t>
  </si>
  <si>
    <t>KP Công Đoàn</t>
  </si>
  <si>
    <t xml:space="preserve"> BH TN</t>
  </si>
  <si>
    <t>Chi hỗ trợ cho học sinh nghèo</t>
  </si>
  <si>
    <t>Chi phí hỗ trợ chi phí học tập HS</t>
  </si>
  <si>
    <t xml:space="preserve">15 học sinh nghèo x 100,000 x 9 tháng </t>
  </si>
  <si>
    <t>Thừa giờ năm học 2019-2020</t>
  </si>
  <si>
    <t>Chi hỗ trợ 2 Bảo vệ *600.000*12th</t>
  </si>
  <si>
    <t>Chi hỗ trợ 1 NVPV  x 500.000*12th</t>
  </si>
  <si>
    <t>Chi trợ cấp QĐ26  hs 6,570*1490*12th</t>
  </si>
  <si>
    <t>Chi hỗ trợ  20.11(49*200,000)</t>
  </si>
  <si>
    <t>Chi trợ cấp khác địa bàn 2 GV*900.000</t>
  </si>
  <si>
    <t>Chi hỗ trợ QĐ58/2014/QĐ-UBND</t>
  </si>
  <si>
    <t>Chi thuê đào tạo chuyên môn ( QĐ UBND tỉnh)</t>
  </si>
  <si>
    <t>Chi sửa chữa nhà cửa .</t>
  </si>
  <si>
    <t>Sửa chữa mái tôn ,chống thấm  sàn thư viện ,hành lang khối nhà ăn ,khối văn phòng ,thay tôn ,chống dột mái khu nhà ăn .</t>
  </si>
  <si>
    <t xml:space="preserve">Chi trang phục 2 Bảo vệ *600.000 </t>
  </si>
  <si>
    <t>Chi PCCC</t>
  </si>
  <si>
    <t>Chi tiền tết (2.000.000/ng x 57 người  )</t>
  </si>
  <si>
    <t>Chi mua sắm tài sản,CCDC</t>
  </si>
  <si>
    <t>Mua sắm công cụ dụng cụ</t>
  </si>
  <si>
    <t xml:space="preserve">Mua 130 bộ bàn ghế học sinh  bán trú </t>
  </si>
  <si>
    <t>Mua sắm tài sản</t>
  </si>
  <si>
    <t>Mua 01 máy in đề thi  siêu tốc .</t>
  </si>
  <si>
    <t>Tổng Cộng</t>
  </si>
  <si>
    <t>Trương Thị Thanh Nhàn</t>
  </si>
  <si>
    <t xml:space="preserve">Tiền quỹ khuyến học </t>
  </si>
  <si>
    <t>BHTN</t>
  </si>
  <si>
    <t>Phù hiệu</t>
  </si>
  <si>
    <t>Đồ dùng cá nhân</t>
  </si>
  <si>
    <t xml:space="preserve">  An Điền   , ngày     tháng     năm 2020</t>
  </si>
  <si>
    <t>CÔNG KHAI TÀI CHÍNH
 NĂM 2020</t>
  </si>
  <si>
    <t xml:space="preserve">  QUYẾT TOÁN THU- CHI NGUỒN KHÁC THÁNG 10 - NĂM 2020</t>
  </si>
  <si>
    <t xml:space="preserve">Tiền CSSK BAN ĐẦU </t>
  </si>
  <si>
    <t>Tiền ăn</t>
  </si>
  <si>
    <t>Bán trú</t>
  </si>
  <si>
    <t>hai buổi</t>
  </si>
  <si>
    <t>nước học sinh</t>
  </si>
  <si>
    <t>Quỹ hội CMHS</t>
  </si>
  <si>
    <t xml:space="preserve">Tổng cộng </t>
  </si>
  <si>
    <t>Phòng chống dịch covid-19</t>
  </si>
  <si>
    <t>Lương và các khoản đóng góp</t>
  </si>
  <si>
    <t>chi thuê mướn đào tạo</t>
  </si>
  <si>
    <t xml:space="preserve">Hỗ trợ chi phí học tập </t>
  </si>
  <si>
    <t>Số học sinh:1717</t>
  </si>
  <si>
    <t xml:space="preserve"> NĂM 2021</t>
  </si>
  <si>
    <t>Số giáo viên,công nhân viên  :60</t>
  </si>
  <si>
    <t>Chi lương và các khoản phụ cấp theo lương 
1.210.000 đồng</t>
  </si>
  <si>
    <t>Chi lương và các khoản phụ cấp theo lương huy động 1.210.000 đồng lên 1.490.000 đồng</t>
  </si>
  <si>
    <t>Lương NĐ 68</t>
  </si>
  <si>
    <t>chi giải quyết việc làm (NĐ 108)</t>
  </si>
  <si>
    <t xml:space="preserve"> ( kèm theo quyết đính số  : 03 ngày  16 / 01 / 2021 của Hiệu trưởng trường tiểu học An Điền )</t>
  </si>
  <si>
    <t xml:space="preserve">       An Điền   , ngày  18   tháng  01 năm 2021</t>
  </si>
  <si>
    <t>Kinh phí nhiệm vụ  thường xuyên năm 2021</t>
  </si>
  <si>
    <t>Chi vật tư phòng chống dịch Covid</t>
  </si>
  <si>
    <t xml:space="preserve">Mua vật rư văn phòng chống dịch Covid theo công văn 485 của sở y tế : Chi mua máy đo nhiệt độ, găng tay y tế, xà phòng, dung dịch vệ sinh,khẩu trang, nước rửa tay , thùng rác có nắp đậy, bồn rửa tay … </t>
  </si>
  <si>
    <t>Tiền lương giáo viên hợp đồng dưới 
12 tháng</t>
  </si>
  <si>
    <t>Chi hỗ trợ thừa giờ</t>
  </si>
  <si>
    <t>Chi hỗ trợ bảo vệ 
 (600,000 x 12 tháng x 2 bảo vệ )</t>
  </si>
  <si>
    <t>Chi hỗ trợ nhân viên phục vụ 
 (500,000 x 12 tháng x 1 nhân viên )</t>
  </si>
  <si>
    <t xml:space="preserve">Chi  khác 30% giáo viên không đứng lớp </t>
  </si>
  <si>
    <t>Chi  hỗ trợ 20/11</t>
  </si>
  <si>
    <t xml:space="preserve">Chi  hỗ trợ khác địa bàn </t>
  </si>
  <si>
    <t>Chi  hỗ trợ nhà trọ</t>
  </si>
  <si>
    <t>Chi  hỗ trợ thạc sỉ (hs 1,5x12 x1,490)</t>
  </si>
  <si>
    <t>Chi  hỗ trợ QĐ 58 ( vượt 42 hs</t>
  </si>
  <si>
    <t>Chi hỗ trợ nghỉ hưu theo NQ 15/2018</t>
  </si>
  <si>
    <t>Chi tiền tết năm 2021</t>
  </si>
  <si>
    <t>Chi giải quyết việc làm</t>
  </si>
  <si>
    <t>Chi hỗ trợ nghỉ hưu 108</t>
  </si>
  <si>
    <t>CỘNG</t>
  </si>
  <si>
    <t>TM</t>
  </si>
  <si>
    <t>Tên mục</t>
  </si>
  <si>
    <t>Nguồn 13</t>
  </si>
  <si>
    <t>Cộng :</t>
  </si>
  <si>
    <t xml:space="preserve"> Lương theo ngạch ,bậc (1.210.000) 
(158,92)</t>
  </si>
  <si>
    <t xml:space="preserve"> Lương theo ngạch ,bậc (280.000)</t>
  </si>
  <si>
    <t xml:space="preserve">Tiền công trả cho hợp đồng NĐ68 </t>
  </si>
  <si>
    <t>Phụ cấp CV  (1.210.000)(hs 3,6)</t>
  </si>
  <si>
    <t>Phụ cấp CV  (280.000)</t>
  </si>
  <si>
    <t>Phụ cấp ưu đãi (1.210.000)(hs 49,9994)</t>
  </si>
  <si>
    <t>Phụ cấp ưu đãi (280.000)</t>
  </si>
  <si>
    <t>Phụ cấp trách nhiệm  (1.210.000)( hs 0,3)</t>
  </si>
  <si>
    <t>Phụ cấp trách nhiệm  (280.000)</t>
  </si>
  <si>
    <t>Phụ cấp thâm niên,  Phụ cấp vượt khung
  (1,210,000) (hs 1,421)</t>
  </si>
  <si>
    <t>Phụ cấp thâm niên,  Phụ cấp vượt khung
  (280,000)</t>
  </si>
  <si>
    <t>Các khoản đóng góp 23,5%</t>
  </si>
  <si>
    <t>BHXH (1.210.000)</t>
  </si>
  <si>
    <t xml:space="preserve"> BHYT (1.210.000)</t>
  </si>
  <si>
    <t xml:space="preserve"> KP Công Đoàn (1.210.000)</t>
  </si>
  <si>
    <t>BH TN(1.210.000)</t>
  </si>
  <si>
    <t>BHXH (280.000)</t>
  </si>
  <si>
    <t xml:space="preserve"> BHYT (280.000)</t>
  </si>
  <si>
    <t xml:space="preserve"> KP Công Đoàn (280.000)</t>
  </si>
  <si>
    <t>BH TN(280.000)</t>
  </si>
  <si>
    <t xml:space="preserve">2  .CHI  CÁC HOẠT ĐỘNG THƯỜNG XUYÊN </t>
  </si>
  <si>
    <t xml:space="preserve">Chi giáo viên thể dục ngoài trời </t>
  </si>
  <si>
    <t>Mua 10 xe đẩy thức ăn</t>
  </si>
  <si>
    <t>Mua  5 xe đẩy thức ăn thừa</t>
  </si>
  <si>
    <t>Chi phí thuê mướn khác 
( thuê nhân viên quét dọn, bảo vệ , chăm sóc cây xanh …)</t>
  </si>
  <si>
    <t>Chi trang phục giáo viên thể dục</t>
  </si>
  <si>
    <t>chi khám sức khỏe học sinh</t>
  </si>
  <si>
    <t>Trích lập quỹ khen thưởng học sinh</t>
  </si>
  <si>
    <t>Trích lập quỹ khen thưởng giáo viên</t>
  </si>
  <si>
    <t xml:space="preserve">Chi mua cây xanh </t>
  </si>
  <si>
    <t>Huy động từ căn tin</t>
  </si>
  <si>
    <t>Tổng cộng: NGUỒN 13+14</t>
  </si>
  <si>
    <t>Số</t>
  </si>
  <si>
    <t>Số tiền</t>
  </si>
  <si>
    <t>Ghi chú</t>
  </si>
  <si>
    <t>LOẠI QUỸ</t>
  </si>
  <si>
    <t xml:space="preserve"> Tồn</t>
  </si>
  <si>
    <t xml:space="preserve">Thu </t>
  </si>
  <si>
    <t>Tồn</t>
  </si>
  <si>
    <t xml:space="preserve">kỳ trước </t>
  </si>
  <si>
    <t>A</t>
  </si>
  <si>
    <t xml:space="preserve"> E </t>
  </si>
  <si>
    <t xml:space="preserve"> G </t>
  </si>
  <si>
    <t xml:space="preserve"> Tiền quỹ khuyến học  </t>
  </si>
  <si>
    <t xml:space="preserve"> Tiền quỹ nhân đạo  </t>
  </si>
  <si>
    <t xml:space="preserve"> Tiền CSSK BAN ĐẦU  </t>
  </si>
  <si>
    <t xml:space="preserve"> BHYT </t>
  </si>
  <si>
    <t xml:space="preserve"> BHTN </t>
  </si>
  <si>
    <t xml:space="preserve">                            -   </t>
  </si>
  <si>
    <t xml:space="preserve"> Phù hiệu </t>
  </si>
  <si>
    <t xml:space="preserve"> Đồ dùng cá nhân </t>
  </si>
  <si>
    <t xml:space="preserve"> Tiền ăn </t>
  </si>
  <si>
    <t xml:space="preserve"> Bán trú </t>
  </si>
  <si>
    <t xml:space="preserve"> hai buổi </t>
  </si>
  <si>
    <t xml:space="preserve"> nước học sinh </t>
  </si>
  <si>
    <t xml:space="preserve"> Quỹ hội CMHS </t>
  </si>
  <si>
    <t xml:space="preserve"> Tổng cộng  </t>
  </si>
  <si>
    <t xml:space="preserve">       Thủ quỹ</t>
  </si>
  <si>
    <t xml:space="preserve">Kế toán </t>
  </si>
  <si>
    <t xml:space="preserve">Hiệu trưởng </t>
  </si>
  <si>
    <t xml:space="preserve">Nguyễn Thị Mỹ Trinh </t>
  </si>
  <si>
    <t>Trương Thị thanh Nhàn</t>
  </si>
  <si>
    <t xml:space="preserve"> Trần Quang Kiệt  </t>
  </si>
  <si>
    <t>Số 
TT</t>
  </si>
  <si>
    <t xml:space="preserve"> Tồn 
kỳ trước </t>
  </si>
  <si>
    <t>E</t>
  </si>
  <si>
    <t>G</t>
  </si>
  <si>
    <t>Tăng thu nhập</t>
  </si>
  <si>
    <t>Chi tiền nước</t>
  </si>
  <si>
    <t>Tài sàn thiết bị khác</t>
  </si>
  <si>
    <t>tăng thu nhập</t>
  </si>
  <si>
    <t xml:space="preserve">  An Điền   , ngày 8  tháng  7 năm 2021</t>
  </si>
  <si>
    <t xml:space="preserve">  An Điền   , ngày  8 tháng  7 năm 2021</t>
  </si>
  <si>
    <t>CÔNG KHAI THỰC HIỆN DỰ TOÁN THU- CHI NGÂN SÁCH 9 THÁNG NĂM 2021</t>
  </si>
  <si>
    <t xml:space="preserve">   Trường tiểu học An Điền  công khai tình hình thực hiện dự toán thu - chi ngân sách  9 tháng năm 2021 như sau :</t>
  </si>
  <si>
    <t xml:space="preserve">            QUYẾT TOÁN THU- CHI NSNN QUÍ 3- NĂM 2021</t>
  </si>
  <si>
    <t xml:space="preserve"> ( kèm theo quyết đính số :  ngày      /     / 2021 của Hiệu trưởng trường tiểu học An Điền )</t>
  </si>
  <si>
    <t xml:space="preserve">  QUYẾT TOÁN THU- CHI NGUỒN KHÁC THÁNG 7 - NĂM 2021</t>
  </si>
  <si>
    <t xml:space="preserve">  QUYẾT TOÁN THU- CHI NGUỒN KHÁC THÁNG 8 - NĂM 2021</t>
  </si>
  <si>
    <t xml:space="preserve">  QUYẾT TOÁN THU- CHI NGUỒN KHÁC THÁNG 9 - NĂM 2021</t>
  </si>
  <si>
    <t xml:space="preserve">                                Ngày   31  tháng  07 năm 2021</t>
  </si>
  <si>
    <t xml:space="preserve">                                Ngày   31  tháng  8 năm 2021</t>
  </si>
  <si>
    <t xml:space="preserve">                                Ngày   30 tháng  09 năm 2021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</si>
</sst>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_(* #,##0_);_(* \(#,##0\);_(* \-??_);_(@_)"/>
  </numFmts>
  <fonts count="88">
    <font>
      <sz val="10"/>
      <name val="Arial"/>
      <family val="0"/>
    </font>
    <font>
      <b/>
      <sz val="10"/>
      <name val="Arial"/>
      <family val="2"/>
    </font>
    <font>
      <b/>
      <sz val="14"/>
      <name val="Arial"/>
      <family val="2"/>
    </font>
    <font>
      <b/>
      <sz val="12"/>
      <name val="Arial"/>
      <family val="2"/>
    </font>
    <font>
      <sz val="12"/>
      <name val="Arial"/>
      <family val="2"/>
    </font>
    <font>
      <i/>
      <sz val="12"/>
      <name val="Arial"/>
      <family val="2"/>
    </font>
    <font>
      <b/>
      <sz val="12"/>
      <name val="VNI-Times"/>
      <family val="0"/>
    </font>
    <font>
      <i/>
      <sz val="10"/>
      <name val="Arial"/>
      <family val="2"/>
    </font>
    <font>
      <b/>
      <sz val="18"/>
      <name val="Arial"/>
      <family val="2"/>
    </font>
    <font>
      <b/>
      <sz val="11"/>
      <name val="Arial"/>
      <family val="2"/>
    </font>
    <font>
      <sz val="14"/>
      <name val="Arial"/>
      <family val="2"/>
    </font>
    <font>
      <b/>
      <i/>
      <sz val="10"/>
      <name val="Arial"/>
      <family val="2"/>
    </font>
    <font>
      <sz val="10"/>
      <name val="VNI-Times"/>
      <family val="0"/>
    </font>
    <font>
      <i/>
      <sz val="10"/>
      <name val="Times New Roman"/>
      <family val="1"/>
    </font>
    <font>
      <b/>
      <sz val="10"/>
      <name val="VNI-Times"/>
      <family val="0"/>
    </font>
    <font>
      <sz val="11"/>
      <name val="VNI-Times"/>
      <family val="0"/>
    </font>
    <font>
      <i/>
      <sz val="11"/>
      <name val="Times New Roman"/>
      <family val="1"/>
    </font>
    <font>
      <sz val="11"/>
      <name val="Times New Roman"/>
      <family val="1"/>
    </font>
    <font>
      <sz val="11"/>
      <color indexed="8"/>
      <name val="Times New Roman"/>
      <family val="1"/>
    </font>
    <font>
      <b/>
      <sz val="11"/>
      <name val="Times New Roman"/>
      <family val="1"/>
    </font>
    <font>
      <b/>
      <sz val="10"/>
      <name val="Times New Roman"/>
      <family val="1"/>
    </font>
    <font>
      <b/>
      <sz val="10"/>
      <color indexed="10"/>
      <name val="Times New Roman"/>
      <family val="1"/>
    </font>
    <font>
      <b/>
      <sz val="11"/>
      <color indexed="10"/>
      <name val="Times New Roman"/>
      <family val="1"/>
    </font>
    <font>
      <b/>
      <sz val="11"/>
      <color indexed="8"/>
      <name val="Times New Roman"/>
      <family val="1"/>
    </font>
    <font>
      <b/>
      <sz val="9"/>
      <name val="Times New Roman"/>
      <family val="1"/>
    </font>
    <font>
      <sz val="12"/>
      <name val="VNI-Times"/>
      <family val="0"/>
    </font>
    <font>
      <sz val="11"/>
      <color indexed="10"/>
      <name val="Times New Roman"/>
      <family val="1"/>
    </font>
    <font>
      <b/>
      <i/>
      <sz val="10"/>
      <name val="Times New Roman"/>
      <family val="1"/>
    </font>
    <font>
      <b/>
      <sz val="12"/>
      <name val="Times New Roman"/>
      <family val="1"/>
    </font>
    <font>
      <i/>
      <sz val="12"/>
      <name val="Times New Roman"/>
      <family val="1"/>
    </font>
    <font>
      <b/>
      <i/>
      <sz val="11"/>
      <name val="Times New Roman"/>
      <family val="1"/>
    </font>
    <font>
      <sz val="12"/>
      <name val="Times New Roman"/>
      <family val="1"/>
    </font>
    <font>
      <b/>
      <sz val="14"/>
      <name val="Times New Roman"/>
      <family val="1"/>
    </font>
    <font>
      <b/>
      <i/>
      <sz val="12"/>
      <name val="Arial"/>
      <family val="2"/>
    </font>
    <font>
      <sz val="10"/>
      <name val="Times New Roman"/>
      <family val="1"/>
    </font>
    <font>
      <b/>
      <sz val="36"/>
      <name val="Times New Roman"/>
      <family val="1"/>
    </font>
    <font>
      <sz val="8"/>
      <name val="Times New Roman"/>
      <family val="1"/>
    </font>
    <font>
      <sz val="8"/>
      <color indexed="8"/>
      <name val="Arial"/>
      <family val="2"/>
    </font>
    <font>
      <b/>
      <sz val="16"/>
      <name val="Times New Roman"/>
      <family val="1"/>
    </font>
    <font>
      <b/>
      <i/>
      <sz val="16"/>
      <name val="Times New Roman"/>
      <family val="1"/>
    </font>
    <font>
      <b/>
      <i/>
      <sz val="14"/>
      <name val="Times New Roman"/>
      <family val="1"/>
    </font>
    <font>
      <sz val="14"/>
      <name val="Times New Roman"/>
      <family val="1"/>
    </font>
    <font>
      <b/>
      <sz val="20"/>
      <name val="Times New Roman"/>
      <family val="1"/>
    </font>
    <font>
      <sz val="20"/>
      <name val="Times New Roman"/>
      <family val="1"/>
    </font>
    <font>
      <b/>
      <sz val="12"/>
      <color indexed="8"/>
      <name val="Times New Roman"/>
      <family val="1"/>
    </font>
    <font>
      <sz val="10"/>
      <color indexed="8"/>
      <name val="Arial"/>
      <family val="2"/>
    </font>
    <font>
      <sz val="12"/>
      <color indexed="8"/>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color indexed="63"/>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color rgb="FF000000"/>
      </bottom>
    </border>
    <border>
      <left>
        <color indexed="63"/>
      </left>
      <right style="medium"/>
      <top>
        <color indexed="63"/>
      </top>
      <bottom style="medium"/>
    </border>
    <border>
      <left>
        <color indexed="63"/>
      </left>
      <right style="medium"/>
      <top>
        <color indexed="63"/>
      </top>
      <bottom style="medium">
        <color rgb="FF000000"/>
      </bottom>
    </border>
    <border>
      <left style="medium"/>
      <right style="medium"/>
      <top>
        <color indexed="63"/>
      </top>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62">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1"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0" fontId="4" fillId="0" borderId="10" xfId="0" applyFont="1" applyBorder="1" applyAlignment="1">
      <alignment/>
    </xf>
    <xf numFmtId="0" fontId="3" fillId="0" borderId="0" xfId="0" applyFont="1" applyAlignment="1">
      <alignment/>
    </xf>
    <xf numFmtId="3" fontId="6" fillId="0" borderId="10" xfId="0" applyNumberFormat="1" applyFont="1" applyBorder="1" applyAlignment="1">
      <alignment/>
    </xf>
    <xf numFmtId="175" fontId="3" fillId="0" borderId="10" xfId="42" applyNumberFormat="1" applyFont="1" applyBorder="1" applyAlignment="1">
      <alignment/>
    </xf>
    <xf numFmtId="175" fontId="0" fillId="0" borderId="10" xfId="42" applyNumberFormat="1" applyFont="1" applyBorder="1" applyAlignment="1">
      <alignment/>
    </xf>
    <xf numFmtId="0" fontId="8" fillId="0" borderId="0" xfId="0" applyFont="1" applyAlignment="1">
      <alignment horizontal="center"/>
    </xf>
    <xf numFmtId="0" fontId="9" fillId="0" borderId="10" xfId="0" applyFont="1" applyBorder="1" applyAlignment="1">
      <alignment horizontal="center"/>
    </xf>
    <xf numFmtId="0" fontId="1" fillId="0" borderId="10" xfId="0" applyFont="1" applyBorder="1" applyAlignment="1">
      <alignment horizontal="center"/>
    </xf>
    <xf numFmtId="0" fontId="10" fillId="0" borderId="10" xfId="0" applyFont="1" applyBorder="1" applyAlignment="1">
      <alignment/>
    </xf>
    <xf numFmtId="0" fontId="3" fillId="0" borderId="0" xfId="0" applyFont="1" applyAlignment="1">
      <alignment horizontal="center"/>
    </xf>
    <xf numFmtId="0" fontId="5" fillId="0" borderId="0" xfId="0" applyFont="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0" fillId="0" borderId="11" xfId="0" applyBorder="1" applyAlignment="1">
      <alignment/>
    </xf>
    <xf numFmtId="175" fontId="4" fillId="0" borderId="10" xfId="42" applyNumberFormat="1" applyFont="1" applyBorder="1" applyAlignment="1">
      <alignment/>
    </xf>
    <xf numFmtId="0" fontId="0" fillId="0" borderId="10" xfId="0" applyFont="1" applyBorder="1" applyAlignment="1">
      <alignment/>
    </xf>
    <xf numFmtId="0" fontId="0" fillId="0" borderId="0" xfId="0" applyFont="1" applyAlignment="1">
      <alignment/>
    </xf>
    <xf numFmtId="49" fontId="3" fillId="0" borderId="12" xfId="0" applyNumberFormat="1" applyFont="1" applyBorder="1" applyAlignment="1">
      <alignment horizontal="center"/>
    </xf>
    <xf numFmtId="0" fontId="0" fillId="0" borderId="10" xfId="0" applyFont="1" applyBorder="1" applyAlignment="1">
      <alignment horizontal="center"/>
    </xf>
    <xf numFmtId="0" fontId="4" fillId="0" borderId="0" xfId="0" applyFont="1" applyAlignment="1">
      <alignment/>
    </xf>
    <xf numFmtId="0" fontId="9" fillId="0" borderId="0" xfId="0" applyFont="1" applyAlignment="1">
      <alignment horizontal="left"/>
    </xf>
    <xf numFmtId="175" fontId="0" fillId="0" borderId="0" xfId="42" applyNumberFormat="1" applyFont="1" applyAlignment="1">
      <alignment/>
    </xf>
    <xf numFmtId="175" fontId="1" fillId="0" borderId="10" xfId="0" applyNumberFormat="1" applyFont="1" applyBorder="1" applyAlignment="1">
      <alignment/>
    </xf>
    <xf numFmtId="175" fontId="0" fillId="0" borderId="10" xfId="0" applyNumberFormat="1" applyFont="1" applyBorder="1" applyAlignment="1">
      <alignment/>
    </xf>
    <xf numFmtId="175" fontId="1" fillId="0" borderId="0" xfId="42" applyNumberFormat="1" applyFont="1" applyAlignment="1">
      <alignment/>
    </xf>
    <xf numFmtId="0" fontId="1" fillId="0" borderId="0" xfId="0" applyFont="1" applyAlignment="1">
      <alignment horizontal="center"/>
    </xf>
    <xf numFmtId="0" fontId="1" fillId="0" borderId="0" xfId="0" applyFont="1" applyAlignment="1">
      <alignment/>
    </xf>
    <xf numFmtId="3" fontId="14" fillId="0" borderId="10" xfId="0" applyNumberFormat="1" applyFont="1" applyBorder="1" applyAlignment="1">
      <alignment horizontal="right"/>
    </xf>
    <xf numFmtId="175" fontId="0" fillId="0" borderId="0" xfId="42" applyNumberFormat="1" applyFont="1" applyAlignment="1">
      <alignment/>
    </xf>
    <xf numFmtId="175" fontId="0" fillId="0" borderId="0" xfId="0" applyNumberFormat="1" applyFont="1" applyAlignment="1">
      <alignment/>
    </xf>
    <xf numFmtId="181" fontId="17" fillId="0" borderId="10" xfId="42" applyNumberFormat="1" applyFont="1" applyBorder="1" applyAlignment="1">
      <alignment horizontal="right"/>
    </xf>
    <xf numFmtId="3" fontId="18" fillId="0" borderId="10" xfId="0" applyNumberFormat="1" applyFont="1" applyBorder="1" applyAlignment="1">
      <alignment/>
    </xf>
    <xf numFmtId="3" fontId="17" fillId="0" borderId="10" xfId="59" applyNumberFormat="1" applyFont="1" applyBorder="1">
      <alignment/>
      <protection/>
    </xf>
    <xf numFmtId="175" fontId="18" fillId="33" borderId="10" xfId="42" applyNumberFormat="1" applyFont="1" applyFill="1" applyBorder="1" applyAlignment="1">
      <alignment/>
    </xf>
    <xf numFmtId="175" fontId="18" fillId="0" borderId="10" xfId="42" applyNumberFormat="1" applyFont="1" applyBorder="1" applyAlignment="1">
      <alignment/>
    </xf>
    <xf numFmtId="3" fontId="17" fillId="34" borderId="10" xfId="59" applyNumberFormat="1" applyFont="1" applyFill="1" applyBorder="1">
      <alignment/>
      <protection/>
    </xf>
    <xf numFmtId="0" fontId="13" fillId="0" borderId="10" xfId="59" applyFont="1" applyBorder="1">
      <alignment/>
      <protection/>
    </xf>
    <xf numFmtId="175" fontId="0" fillId="0" borderId="0" xfId="0" applyNumberFormat="1" applyAlignment="1">
      <alignment/>
    </xf>
    <xf numFmtId="0" fontId="19" fillId="0" borderId="10" xfId="59" applyFont="1" applyFill="1" applyBorder="1" applyAlignment="1">
      <alignment horizontal="left"/>
      <protection/>
    </xf>
    <xf numFmtId="3" fontId="19" fillId="0" borderId="10" xfId="59" applyNumberFormat="1" applyFont="1" applyFill="1" applyBorder="1" applyAlignment="1">
      <alignment horizontal="left"/>
      <protection/>
    </xf>
    <xf numFmtId="0" fontId="19" fillId="0" borderId="10" xfId="59" applyFont="1" applyFill="1" applyBorder="1" applyAlignment="1">
      <alignment horizontal="center"/>
      <protection/>
    </xf>
    <xf numFmtId="3" fontId="20" fillId="0" borderId="10" xfId="59" applyNumberFormat="1" applyFont="1" applyFill="1" applyBorder="1">
      <alignment/>
      <protection/>
    </xf>
    <xf numFmtId="3" fontId="21" fillId="0" borderId="10" xfId="59" applyNumberFormat="1" applyFont="1" applyFill="1" applyBorder="1">
      <alignment/>
      <protection/>
    </xf>
    <xf numFmtId="0" fontId="19" fillId="0" borderId="10" xfId="59" applyFont="1" applyBorder="1" applyAlignment="1">
      <alignment horizontal="center"/>
      <protection/>
    </xf>
    <xf numFmtId="0" fontId="17" fillId="0" borderId="10" xfId="59" applyFont="1" applyBorder="1" applyAlignment="1">
      <alignment horizontal="center"/>
      <protection/>
    </xf>
    <xf numFmtId="0" fontId="16" fillId="0" borderId="10" xfId="0" applyFont="1" applyBorder="1" applyAlignment="1">
      <alignment/>
    </xf>
    <xf numFmtId="3" fontId="19" fillId="0" borderId="10" xfId="59" applyNumberFormat="1" applyFont="1" applyBorder="1">
      <alignment/>
      <protection/>
    </xf>
    <xf numFmtId="3" fontId="22" fillId="0" borderId="10" xfId="59" applyNumberFormat="1" applyFont="1" applyBorder="1">
      <alignment/>
      <protection/>
    </xf>
    <xf numFmtId="3" fontId="23" fillId="0" borderId="10" xfId="59" applyNumberFormat="1" applyFont="1" applyBorder="1">
      <alignment/>
      <protection/>
    </xf>
    <xf numFmtId="0" fontId="16" fillId="0" borderId="10" xfId="59" applyFont="1" applyBorder="1">
      <alignment/>
      <protection/>
    </xf>
    <xf numFmtId="0" fontId="24" fillId="0" borderId="10" xfId="59" applyFont="1" applyBorder="1" applyAlignment="1">
      <alignment horizontal="center"/>
      <protection/>
    </xf>
    <xf numFmtId="3" fontId="19" fillId="0" borderId="10" xfId="59" applyNumberFormat="1" applyFont="1" applyFill="1" applyBorder="1">
      <alignment/>
      <protection/>
    </xf>
    <xf numFmtId="3" fontId="22" fillId="0" borderId="10" xfId="59" applyNumberFormat="1" applyFont="1" applyFill="1" applyBorder="1">
      <alignment/>
      <protection/>
    </xf>
    <xf numFmtId="0" fontId="13" fillId="0" borderId="10" xfId="0" applyFont="1" applyBorder="1" applyAlignment="1">
      <alignment/>
    </xf>
    <xf numFmtId="3" fontId="17" fillId="0" borderId="10" xfId="0" applyNumberFormat="1" applyFont="1" applyBorder="1" applyAlignment="1">
      <alignment/>
    </xf>
    <xf numFmtId="0" fontId="19" fillId="0" borderId="10" xfId="59" applyFont="1" applyBorder="1">
      <alignment/>
      <protection/>
    </xf>
    <xf numFmtId="0" fontId="17" fillId="33" borderId="10" xfId="58" applyFont="1" applyFill="1" applyBorder="1">
      <alignment/>
      <protection/>
    </xf>
    <xf numFmtId="175" fontId="15" fillId="33" borderId="10" xfId="44" applyNumberFormat="1" applyFont="1" applyFill="1" applyBorder="1" applyAlignment="1">
      <alignment horizontal="center"/>
    </xf>
    <xf numFmtId="175" fontId="17" fillId="0" borderId="10" xfId="42" applyNumberFormat="1" applyFont="1" applyBorder="1" applyAlignment="1">
      <alignment/>
    </xf>
    <xf numFmtId="0" fontId="17" fillId="0" borderId="10" xfId="59" applyFont="1" applyBorder="1">
      <alignment/>
      <protection/>
    </xf>
    <xf numFmtId="0" fontId="13" fillId="0" borderId="10" xfId="0" applyFont="1" applyBorder="1" applyAlignment="1">
      <alignment wrapText="1"/>
    </xf>
    <xf numFmtId="0" fontId="20" fillId="0" borderId="10" xfId="59" applyFont="1" applyFill="1" applyBorder="1" applyAlignment="1">
      <alignment horizontal="center"/>
      <protection/>
    </xf>
    <xf numFmtId="3" fontId="23" fillId="33" borderId="10" xfId="59" applyNumberFormat="1" applyFont="1" applyFill="1" applyBorder="1">
      <alignment/>
      <protection/>
    </xf>
    <xf numFmtId="3" fontId="26" fillId="0" borderId="10" xfId="59" applyNumberFormat="1" applyFont="1" applyBorder="1">
      <alignment/>
      <protection/>
    </xf>
    <xf numFmtId="0" fontId="27" fillId="0" borderId="10" xfId="59" applyFont="1" applyBorder="1">
      <alignment/>
      <protection/>
    </xf>
    <xf numFmtId="0" fontId="24" fillId="0" borderId="10" xfId="59" applyFont="1" applyBorder="1">
      <alignment/>
      <protection/>
    </xf>
    <xf numFmtId="3" fontId="19" fillId="0" borderId="10" xfId="59" applyNumberFormat="1" applyFont="1" applyBorder="1" applyAlignment="1">
      <alignment horizontal="center"/>
      <protection/>
    </xf>
    <xf numFmtId="3" fontId="19" fillId="35" borderId="10" xfId="59" applyNumberFormat="1" applyFont="1" applyFill="1" applyBorder="1">
      <alignment/>
      <protection/>
    </xf>
    <xf numFmtId="0" fontId="28" fillId="0" borderId="10" xfId="59" applyFont="1" applyBorder="1" applyAlignment="1">
      <alignment horizontal="center"/>
      <protection/>
    </xf>
    <xf numFmtId="3" fontId="28" fillId="35" borderId="10" xfId="59" applyNumberFormat="1" applyFont="1" applyFill="1" applyBorder="1">
      <alignment/>
      <protection/>
    </xf>
    <xf numFmtId="3" fontId="20" fillId="0" borderId="10" xfId="59" applyNumberFormat="1" applyFont="1" applyBorder="1">
      <alignment/>
      <protection/>
    </xf>
    <xf numFmtId="0" fontId="19" fillId="0" borderId="10" xfId="59" applyFont="1" applyBorder="1" applyAlignment="1">
      <alignment horizontal="center" vertical="center"/>
      <protection/>
    </xf>
    <xf numFmtId="0" fontId="19" fillId="0" borderId="10" xfId="59" applyFont="1" applyBorder="1" applyAlignment="1">
      <alignment horizontal="center" vertical="center" wrapText="1"/>
      <protection/>
    </xf>
    <xf numFmtId="3" fontId="19" fillId="0" borderId="10" xfId="59" applyNumberFormat="1" applyFont="1" applyBorder="1" applyAlignment="1">
      <alignment horizontal="center" vertical="center"/>
      <protection/>
    </xf>
    <xf numFmtId="0" fontId="16" fillId="34" borderId="10" xfId="58" applyFont="1" applyFill="1" applyBorder="1" applyAlignment="1">
      <alignment wrapText="1"/>
      <protection/>
    </xf>
    <xf numFmtId="0" fontId="29" fillId="0" borderId="10" xfId="0" applyFont="1" applyBorder="1" applyAlignment="1">
      <alignment wrapText="1"/>
    </xf>
    <xf numFmtId="0" fontId="16" fillId="33" borderId="10" xfId="58" applyFont="1" applyFill="1" applyBorder="1">
      <alignment/>
      <protection/>
    </xf>
    <xf numFmtId="0" fontId="16" fillId="0" borderId="10" xfId="59" applyFont="1" applyBorder="1" applyAlignment="1">
      <alignment horizontal="left"/>
      <protection/>
    </xf>
    <xf numFmtId="0" fontId="30" fillId="0" borderId="10" xfId="59" applyFont="1" applyBorder="1">
      <alignment/>
      <protection/>
    </xf>
    <xf numFmtId="175" fontId="19" fillId="0" borderId="10" xfId="42" applyNumberFormat="1" applyFont="1" applyBorder="1" applyAlignment="1">
      <alignment/>
    </xf>
    <xf numFmtId="0" fontId="17" fillId="0" borderId="10" xfId="59" applyFont="1" applyFill="1" applyBorder="1" applyAlignment="1">
      <alignment horizontal="center"/>
      <protection/>
    </xf>
    <xf numFmtId="0" fontId="16" fillId="0" borderId="10" xfId="59" applyFont="1" applyFill="1" applyBorder="1" applyAlignment="1">
      <alignment horizontal="left"/>
      <protection/>
    </xf>
    <xf numFmtId="175" fontId="17" fillId="33" borderId="10" xfId="42" applyNumberFormat="1" applyFont="1" applyFill="1" applyBorder="1" applyAlignment="1">
      <alignment/>
    </xf>
    <xf numFmtId="0" fontId="17" fillId="34" borderId="10" xfId="58" applyFont="1" applyFill="1" applyBorder="1" applyAlignment="1">
      <alignment wrapText="1"/>
      <protection/>
    </xf>
    <xf numFmtId="0" fontId="16" fillId="0" borderId="10" xfId="59" applyFont="1" applyBorder="1" applyAlignment="1">
      <alignment wrapText="1"/>
      <protection/>
    </xf>
    <xf numFmtId="0" fontId="19" fillId="33" borderId="10" xfId="58" applyFont="1" applyFill="1" applyBorder="1" applyAlignment="1">
      <alignment wrapText="1"/>
      <protection/>
    </xf>
    <xf numFmtId="3" fontId="19" fillId="33" borderId="10" xfId="59" applyNumberFormat="1" applyFont="1" applyFill="1" applyBorder="1">
      <alignment/>
      <protection/>
    </xf>
    <xf numFmtId="0" fontId="17" fillId="34" borderId="10" xfId="59" applyFont="1" applyFill="1" applyBorder="1" applyAlignment="1">
      <alignment horizontal="center"/>
      <protection/>
    </xf>
    <xf numFmtId="0" fontId="31" fillId="0" borderId="10" xfId="59" applyFont="1" applyBorder="1">
      <alignment/>
      <protection/>
    </xf>
    <xf numFmtId="0" fontId="31" fillId="0" borderId="10" xfId="59" applyFont="1" applyBorder="1" applyAlignment="1">
      <alignment horizontal="center"/>
      <protection/>
    </xf>
    <xf numFmtId="175" fontId="32" fillId="35" borderId="10" xfId="42" applyNumberFormat="1" applyFont="1" applyFill="1" applyBorder="1" applyAlignment="1">
      <alignment/>
    </xf>
    <xf numFmtId="0" fontId="16" fillId="0" borderId="10" xfId="0" applyFont="1" applyBorder="1" applyAlignment="1">
      <alignment wrapText="1"/>
    </xf>
    <xf numFmtId="0" fontId="17" fillId="0" borderId="13" xfId="59" applyFont="1" applyBorder="1">
      <alignment/>
      <protection/>
    </xf>
    <xf numFmtId="0" fontId="33" fillId="0" borderId="0" xfId="0" applyFont="1" applyAlignment="1">
      <alignment horizontal="center"/>
    </xf>
    <xf numFmtId="175" fontId="34" fillId="0" borderId="10" xfId="42" applyNumberFormat="1" applyFont="1" applyBorder="1" applyAlignment="1">
      <alignment/>
    </xf>
    <xf numFmtId="0" fontId="35" fillId="0" borderId="14" xfId="0" applyFont="1" applyBorder="1" applyAlignment="1">
      <alignment horizontal="center" vertical="center" wrapText="1"/>
    </xf>
    <xf numFmtId="49" fontId="17" fillId="0" borderId="10" xfId="0" applyNumberFormat="1" applyFont="1" applyBorder="1" applyAlignment="1">
      <alignment horizontal="center"/>
    </xf>
    <xf numFmtId="175" fontId="36" fillId="0" borderId="10" xfId="42" applyNumberFormat="1" applyFont="1" applyBorder="1" applyAlignment="1">
      <alignment horizontal="right"/>
    </xf>
    <xf numFmtId="175" fontId="36" fillId="36" borderId="10" xfId="42" applyNumberFormat="1" applyFont="1" applyFill="1" applyBorder="1" applyAlignment="1">
      <alignment horizontal="right"/>
    </xf>
    <xf numFmtId="3" fontId="37" fillId="0" borderId="10" xfId="0" applyNumberFormat="1" applyFont="1" applyFill="1" applyBorder="1" applyAlignment="1" applyProtection="1">
      <alignment horizontal="right"/>
      <protection locked="0"/>
    </xf>
    <xf numFmtId="175" fontId="37" fillId="0" borderId="10" xfId="42" applyNumberFormat="1" applyFont="1" applyFill="1" applyBorder="1" applyAlignment="1" applyProtection="1">
      <alignment horizontal="right"/>
      <protection locked="0"/>
    </xf>
    <xf numFmtId="175" fontId="34" fillId="0" borderId="11" xfId="42" applyNumberFormat="1" applyFont="1" applyBorder="1" applyAlignment="1">
      <alignment/>
    </xf>
    <xf numFmtId="175" fontId="37" fillId="0" borderId="0" xfId="42" applyNumberFormat="1" applyFont="1" applyFill="1" applyBorder="1" applyAlignment="1" applyProtection="1">
      <alignment horizontal="right"/>
      <protection locked="0"/>
    </xf>
    <xf numFmtId="0" fontId="28" fillId="0" borderId="15" xfId="0" applyFont="1" applyBorder="1" applyAlignment="1">
      <alignment horizontal="center"/>
    </xf>
    <xf numFmtId="175" fontId="17" fillId="0" borderId="10" xfId="42"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175" fontId="0" fillId="0" borderId="0" xfId="42" applyNumberFormat="1" applyFont="1" applyBorder="1" applyAlignment="1">
      <alignment/>
    </xf>
    <xf numFmtId="175" fontId="0" fillId="0" borderId="0" xfId="0" applyNumberFormat="1" applyFont="1" applyBorder="1" applyAlignment="1">
      <alignment/>
    </xf>
    <xf numFmtId="0" fontId="3" fillId="0" borderId="0" xfId="0" applyFont="1" applyAlignment="1">
      <alignment/>
    </xf>
    <xf numFmtId="0" fontId="4" fillId="0" borderId="10" xfId="0" applyFont="1" applyBorder="1" applyAlignment="1">
      <alignment wrapText="1"/>
    </xf>
    <xf numFmtId="3" fontId="0" fillId="0" borderId="10" xfId="0" applyNumberFormat="1" applyBorder="1" applyAlignment="1">
      <alignment/>
    </xf>
    <xf numFmtId="175" fontId="0" fillId="0" borderId="10" xfId="0" applyNumberFormat="1" applyBorder="1" applyAlignment="1">
      <alignment/>
    </xf>
    <xf numFmtId="0" fontId="19" fillId="0" borderId="13" xfId="59" applyFont="1" applyFill="1" applyBorder="1" applyAlignment="1">
      <alignment horizontal="center"/>
      <protection/>
    </xf>
    <xf numFmtId="0" fontId="19" fillId="0" borderId="13" xfId="59" applyFont="1" applyBorder="1">
      <alignment/>
      <protection/>
    </xf>
    <xf numFmtId="0" fontId="17" fillId="0" borderId="10" xfId="59" applyFont="1" applyBorder="1" applyAlignment="1">
      <alignment horizontal="center" vertical="center"/>
      <protection/>
    </xf>
    <xf numFmtId="3" fontId="18" fillId="0" borderId="10" xfId="0" applyNumberFormat="1" applyFont="1" applyBorder="1" applyAlignment="1">
      <alignment/>
    </xf>
    <xf numFmtId="0" fontId="19" fillId="0" borderId="13" xfId="59" applyFont="1" applyBorder="1" applyAlignment="1">
      <alignment horizontal="center"/>
      <protection/>
    </xf>
    <xf numFmtId="3" fontId="21" fillId="0" borderId="10" xfId="59" applyNumberFormat="1" applyFont="1" applyBorder="1">
      <alignment/>
      <protection/>
    </xf>
    <xf numFmtId="0" fontId="16" fillId="0" borderId="10" xfId="59" applyFont="1" applyBorder="1" applyAlignment="1">
      <alignment horizontal="left" wrapText="1"/>
      <protection/>
    </xf>
    <xf numFmtId="175" fontId="17" fillId="0" borderId="10" xfId="42" applyNumberFormat="1" applyFont="1" applyFill="1" applyBorder="1" applyAlignment="1">
      <alignment/>
    </xf>
    <xf numFmtId="0" fontId="38" fillId="0" borderId="10" xfId="59" applyFont="1" applyBorder="1" applyAlignment="1">
      <alignment horizontal="center"/>
      <protection/>
    </xf>
    <xf numFmtId="0" fontId="28" fillId="0" borderId="10" xfId="59" applyFont="1" applyBorder="1" applyAlignment="1">
      <alignment horizontal="center" vertical="center"/>
      <protection/>
    </xf>
    <xf numFmtId="0" fontId="28" fillId="0" borderId="10" xfId="59" applyFont="1" applyBorder="1" applyAlignment="1">
      <alignment horizontal="center" vertical="center" wrapText="1"/>
      <protection/>
    </xf>
    <xf numFmtId="0" fontId="24" fillId="0" borderId="10" xfId="59" applyFont="1" applyBorder="1" applyAlignment="1">
      <alignment horizontal="center" vertical="center"/>
      <protection/>
    </xf>
    <xf numFmtId="175" fontId="19" fillId="0" borderId="10" xfId="42" applyNumberFormat="1" applyFont="1" applyBorder="1" applyAlignment="1">
      <alignment horizontal="center" vertical="center"/>
    </xf>
    <xf numFmtId="175" fontId="19" fillId="0" borderId="10" xfId="42" applyNumberFormat="1" applyFont="1" applyBorder="1" applyAlignment="1">
      <alignment horizontal="center" vertical="center" wrapText="1"/>
    </xf>
    <xf numFmtId="0" fontId="19" fillId="0" borderId="16" xfId="59" applyFont="1" applyBorder="1">
      <alignment/>
      <protection/>
    </xf>
    <xf numFmtId="0" fontId="19" fillId="0" borderId="10" xfId="59" applyFont="1" applyBorder="1" applyAlignment="1">
      <alignment horizontal="left"/>
      <protection/>
    </xf>
    <xf numFmtId="3" fontId="19" fillId="0" borderId="10" xfId="59" applyNumberFormat="1" applyFont="1" applyBorder="1" applyAlignment="1">
      <alignment horizontal="right"/>
      <protection/>
    </xf>
    <xf numFmtId="0" fontId="13" fillId="0" borderId="10" xfId="59" applyFont="1" applyBorder="1" applyAlignment="1">
      <alignment wrapText="1"/>
      <protection/>
    </xf>
    <xf numFmtId="3" fontId="17" fillId="0" borderId="10" xfId="0" applyNumberFormat="1" applyFont="1" applyBorder="1" applyAlignment="1">
      <alignment/>
    </xf>
    <xf numFmtId="0" fontId="13" fillId="0" borderId="10" xfId="0" applyFont="1" applyBorder="1" applyAlignment="1" quotePrefix="1">
      <alignment/>
    </xf>
    <xf numFmtId="0" fontId="16" fillId="0" borderId="10" xfId="59" applyFont="1" applyBorder="1" applyAlignment="1">
      <alignment vertical="center" wrapText="1"/>
      <protection/>
    </xf>
    <xf numFmtId="0" fontId="39" fillId="0" borderId="10" xfId="59" applyFont="1" applyBorder="1">
      <alignment/>
      <protection/>
    </xf>
    <xf numFmtId="0" fontId="28" fillId="0" borderId="10" xfId="59" applyFont="1" applyBorder="1">
      <alignment/>
      <protection/>
    </xf>
    <xf numFmtId="0" fontId="40" fillId="0" borderId="10" xfId="59" applyFont="1" applyBorder="1">
      <alignment/>
      <protection/>
    </xf>
    <xf numFmtId="181" fontId="32" fillId="0" borderId="10" xfId="42" applyNumberFormat="1" applyFont="1" applyBorder="1" applyAlignment="1">
      <alignment horizontal="right"/>
    </xf>
    <xf numFmtId="0" fontId="20" fillId="0" borderId="10" xfId="59" applyFont="1" applyBorder="1">
      <alignment/>
      <protection/>
    </xf>
    <xf numFmtId="0" fontId="19" fillId="0" borderId="15" xfId="59" applyFont="1" applyBorder="1">
      <alignment/>
      <protection/>
    </xf>
    <xf numFmtId="175" fontId="19" fillId="35" borderId="10" xfId="42" applyNumberFormat="1" applyFont="1" applyFill="1" applyBorder="1" applyAlignment="1">
      <alignment/>
    </xf>
    <xf numFmtId="181" fontId="0" fillId="0" borderId="10" xfId="0" applyNumberFormat="1" applyBorder="1" applyAlignment="1">
      <alignment/>
    </xf>
    <xf numFmtId="3" fontId="28" fillId="0" borderId="10" xfId="59" applyNumberFormat="1" applyFont="1" applyBorder="1">
      <alignment/>
      <protection/>
    </xf>
    <xf numFmtId="0" fontId="19" fillId="0" borderId="13" xfId="59" applyFont="1" applyFill="1" applyBorder="1" applyAlignment="1">
      <alignment horizontal="left"/>
      <protection/>
    </xf>
    <xf numFmtId="0" fontId="24" fillId="0" borderId="13" xfId="59" applyFont="1" applyBorder="1" applyAlignment="1">
      <alignment horizontal="center"/>
      <protection/>
    </xf>
    <xf numFmtId="0" fontId="17" fillId="0" borderId="13" xfId="59" applyFont="1" applyBorder="1" applyAlignment="1">
      <alignment horizontal="center"/>
      <protection/>
    </xf>
    <xf numFmtId="0" fontId="28" fillId="0" borderId="13" xfId="59" applyFont="1" applyBorder="1" applyAlignment="1">
      <alignment horizontal="center"/>
      <protection/>
    </xf>
    <xf numFmtId="0" fontId="19" fillId="0" borderId="13" xfId="59" applyFont="1" applyBorder="1" applyAlignment="1">
      <alignment horizontal="center" vertical="center"/>
      <protection/>
    </xf>
    <xf numFmtId="0" fontId="7" fillId="0" borderId="10" xfId="0" applyFont="1" applyBorder="1" applyAlignment="1">
      <alignment/>
    </xf>
    <xf numFmtId="175" fontId="20" fillId="35" borderId="10" xfId="42" applyNumberFormat="1" applyFont="1" applyFill="1" applyBorder="1" applyAlignment="1">
      <alignment horizontal="center" vertical="center"/>
    </xf>
    <xf numFmtId="0" fontId="41" fillId="0" borderId="0" xfId="0" applyFont="1" applyAlignment="1">
      <alignment/>
    </xf>
    <xf numFmtId="0" fontId="31" fillId="0" borderId="0" xfId="0" applyFont="1" applyAlignment="1">
      <alignment/>
    </xf>
    <xf numFmtId="0" fontId="42" fillId="0" borderId="0" xfId="0" applyFont="1" applyAlignment="1">
      <alignment/>
    </xf>
    <xf numFmtId="0" fontId="43" fillId="0" borderId="0" xfId="0" applyFont="1" applyAlignment="1">
      <alignment/>
    </xf>
    <xf numFmtId="0" fontId="44" fillId="0" borderId="17"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protection locked="0"/>
    </xf>
    <xf numFmtId="0" fontId="44" fillId="0" borderId="19"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protection locked="0"/>
    </xf>
    <xf numFmtId="0" fontId="44" fillId="0" borderId="20" xfId="0" applyFont="1" applyBorder="1" applyAlignment="1" applyProtection="1">
      <alignment horizontal="center" vertical="center" wrapText="1"/>
      <protection locked="0"/>
    </xf>
    <xf numFmtId="0" fontId="45" fillId="0" borderId="21" xfId="0" applyFont="1" applyBorder="1" applyAlignment="1" applyProtection="1">
      <alignment horizontal="left" vertical="center" wrapText="1"/>
      <protection locked="0"/>
    </xf>
    <xf numFmtId="0" fontId="44" fillId="0" borderId="22" xfId="0" applyFont="1" applyBorder="1" applyAlignment="1" applyProtection="1">
      <alignment horizontal="center" vertical="center"/>
      <protection locked="0"/>
    </xf>
    <xf numFmtId="0" fontId="44" fillId="0" borderId="23" xfId="0" applyFont="1" applyBorder="1" applyAlignment="1" applyProtection="1">
      <alignment horizontal="center" vertical="center" wrapText="1"/>
      <protection locked="0"/>
    </xf>
    <xf numFmtId="0" fontId="46" fillId="0" borderId="24"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2" xfId="0" applyFont="1" applyBorder="1" applyAlignment="1" applyProtection="1">
      <alignment horizontal="left" vertical="center"/>
      <protection locked="0"/>
    </xf>
    <xf numFmtId="0" fontId="18" fillId="0" borderId="24" xfId="0" applyFont="1" applyBorder="1" applyAlignment="1" applyProtection="1">
      <alignment horizontal="center" vertical="center"/>
      <protection locked="0"/>
    </xf>
    <xf numFmtId="0" fontId="47" fillId="0" borderId="22" xfId="0" applyFont="1" applyBorder="1" applyAlignment="1" applyProtection="1">
      <alignment horizontal="left" vertical="center"/>
      <protection locked="0"/>
    </xf>
    <xf numFmtId="3" fontId="47" fillId="0" borderId="22" xfId="0" applyNumberFormat="1" applyFont="1" applyBorder="1" applyAlignment="1" applyProtection="1">
      <alignment horizontal="left" vertical="center"/>
      <protection locked="0"/>
    </xf>
    <xf numFmtId="3" fontId="86" fillId="0" borderId="22" xfId="0" applyNumberFormat="1" applyFont="1" applyBorder="1" applyAlignment="1" applyProtection="1">
      <alignment horizontal="right" vertical="center"/>
      <protection locked="0"/>
    </xf>
    <xf numFmtId="0" fontId="86" fillId="0" borderId="22" xfId="0" applyFont="1" applyBorder="1" applyAlignment="1" applyProtection="1">
      <alignment horizontal="left" vertical="center"/>
      <protection locked="0"/>
    </xf>
    <xf numFmtId="0" fontId="47" fillId="0" borderId="22" xfId="0" applyFont="1" applyBorder="1" applyAlignment="1" applyProtection="1">
      <alignment vertical="center"/>
      <protection locked="0"/>
    </xf>
    <xf numFmtId="3" fontId="86" fillId="0" borderId="22" xfId="0" applyNumberFormat="1" applyFont="1" applyBorder="1" applyAlignment="1" applyProtection="1">
      <alignment horizontal="left" vertical="center"/>
      <protection locked="0"/>
    </xf>
    <xf numFmtId="0" fontId="87" fillId="35" borderId="22" xfId="0" applyFont="1" applyFill="1" applyBorder="1" applyAlignment="1" applyProtection="1">
      <alignment horizontal="left" vertical="center"/>
      <protection locked="0"/>
    </xf>
    <xf numFmtId="3" fontId="86" fillId="35" borderId="0" xfId="0" applyNumberFormat="1" applyFont="1" applyFill="1" applyAlignment="1" applyProtection="1">
      <alignment horizontal="left" vertical="center"/>
      <protection locked="0"/>
    </xf>
    <xf numFmtId="3" fontId="47" fillId="0" borderId="24" xfId="0" applyNumberFormat="1" applyFont="1" applyBorder="1" applyAlignment="1" applyProtection="1">
      <alignment horizontal="left" vertical="center"/>
      <protection locked="0"/>
    </xf>
    <xf numFmtId="0" fontId="44" fillId="0" borderId="25" xfId="0" applyFont="1" applyBorder="1" applyAlignment="1" applyProtection="1">
      <alignment horizontal="center" vertical="center"/>
      <protection locked="0"/>
    </xf>
    <xf numFmtId="0" fontId="45" fillId="0" borderId="0" xfId="0" applyFont="1" applyAlignment="1" applyProtection="1">
      <alignment horizontal="left"/>
      <protection locked="0"/>
    </xf>
    <xf numFmtId="3" fontId="45" fillId="0" borderId="0" xfId="0" applyNumberFormat="1" applyFont="1" applyAlignment="1" applyProtection="1">
      <alignment horizontal="left"/>
      <protection locked="0"/>
    </xf>
    <xf numFmtId="0" fontId="41" fillId="0" borderId="0" xfId="0" applyFont="1" applyAlignment="1">
      <alignment horizontal="center"/>
    </xf>
    <xf numFmtId="0" fontId="4" fillId="0" borderId="0" xfId="0" applyFont="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0" fontId="28" fillId="0" borderId="11" xfId="0" applyFont="1" applyBorder="1" applyAlignment="1">
      <alignment horizontal="center"/>
    </xf>
    <xf numFmtId="0" fontId="31" fillId="0" borderId="10" xfId="0" applyFont="1" applyBorder="1" applyAlignment="1">
      <alignment horizontal="center"/>
    </xf>
    <xf numFmtId="175" fontId="17" fillId="0" borderId="10" xfId="42" applyNumberFormat="1" applyFont="1" applyBorder="1" applyAlignment="1">
      <alignment/>
    </xf>
    <xf numFmtId="175" fontId="17" fillId="0" borderId="11" xfId="42" applyNumberFormat="1" applyFont="1" applyBorder="1" applyAlignment="1">
      <alignment/>
    </xf>
    <xf numFmtId="0" fontId="31" fillId="0" borderId="28" xfId="0" applyFont="1" applyBorder="1" applyAlignment="1">
      <alignment/>
    </xf>
    <xf numFmtId="175" fontId="17" fillId="0" borderId="0" xfId="42" applyNumberFormat="1" applyFont="1" applyBorder="1" applyAlignment="1">
      <alignment/>
    </xf>
    <xf numFmtId="175" fontId="17" fillId="0" borderId="28" xfId="42" applyNumberFormat="1" applyFont="1" applyBorder="1" applyAlignment="1">
      <alignment/>
    </xf>
    <xf numFmtId="175" fontId="17" fillId="0" borderId="28" xfId="42" applyNumberFormat="1" applyFont="1" applyBorder="1" applyAlignment="1">
      <alignment horizontal="center"/>
    </xf>
    <xf numFmtId="3" fontId="19" fillId="0" borderId="10" xfId="59" applyNumberFormat="1" applyFont="1" applyBorder="1" applyAlignment="1">
      <alignment horizontal="right" vertical="center"/>
      <protection/>
    </xf>
    <xf numFmtId="181" fontId="19" fillId="0" borderId="10" xfId="42" applyNumberFormat="1" applyFont="1" applyBorder="1" applyAlignment="1">
      <alignment horizontal="right"/>
    </xf>
    <xf numFmtId="3" fontId="19" fillId="0" borderId="13" xfId="59" applyNumberFormat="1" applyFont="1" applyBorder="1">
      <alignment/>
      <protection/>
    </xf>
    <xf numFmtId="181" fontId="0" fillId="0" borderId="0" xfId="0" applyNumberFormat="1" applyAlignment="1">
      <alignment/>
    </xf>
    <xf numFmtId="175" fontId="17" fillId="0" borderId="10" xfId="59" applyNumberFormat="1" applyFont="1" applyBorder="1" applyAlignment="1">
      <alignment horizontal="center"/>
      <protection/>
    </xf>
    <xf numFmtId="175" fontId="0" fillId="35" borderId="10" xfId="42" applyNumberFormat="1" applyFont="1" applyFill="1" applyBorder="1" applyAlignment="1">
      <alignment/>
    </xf>
    <xf numFmtId="181" fontId="17" fillId="0" borderId="10" xfId="59" applyNumberFormat="1" applyFont="1" applyBorder="1" applyAlignment="1">
      <alignment horizontal="center"/>
      <protection/>
    </xf>
    <xf numFmtId="3" fontId="47" fillId="0" borderId="22" xfId="0" applyNumberFormat="1" applyFont="1" applyBorder="1" applyAlignment="1" applyProtection="1">
      <alignment horizontal="right" vertical="center"/>
      <protection locked="0"/>
    </xf>
    <xf numFmtId="0" fontId="2" fillId="0" borderId="0" xfId="0" applyFont="1" applyAlignment="1">
      <alignment horizontal="center"/>
    </xf>
    <xf numFmtId="0" fontId="1" fillId="0" borderId="0" xfId="0" applyFont="1" applyAlignment="1">
      <alignment horizontal="center"/>
    </xf>
    <xf numFmtId="0" fontId="9" fillId="0" borderId="10" xfId="0" applyFont="1" applyBorder="1" applyAlignment="1">
      <alignment horizontal="center" wrapText="1"/>
    </xf>
    <xf numFmtId="0" fontId="1" fillId="0" borderId="10" xfId="0" applyFont="1" applyBorder="1" applyAlignment="1">
      <alignment horizontal="center" wrapText="1"/>
    </xf>
    <xf numFmtId="0" fontId="9" fillId="0" borderId="26" xfId="0" applyFont="1" applyBorder="1" applyAlignment="1">
      <alignment horizontal="center" wrapText="1"/>
    </xf>
    <xf numFmtId="0" fontId="9" fillId="0" borderId="11" xfId="0" applyFont="1" applyBorder="1" applyAlignment="1">
      <alignment horizontal="center" wrapText="1"/>
    </xf>
    <xf numFmtId="0" fontId="41" fillId="0" borderId="0" xfId="0" applyFont="1" applyAlignment="1">
      <alignment horizontal="center"/>
    </xf>
    <xf numFmtId="0" fontId="4" fillId="0" borderId="0" xfId="0" applyFont="1" applyAlignment="1">
      <alignment horizontal="center"/>
    </xf>
    <xf numFmtId="0" fontId="1" fillId="0" borderId="26" xfId="0" applyFont="1" applyBorder="1" applyAlignment="1">
      <alignment horizontal="center"/>
    </xf>
    <xf numFmtId="0" fontId="1" fillId="0" borderId="11" xfId="0" applyFont="1" applyBorder="1" applyAlignment="1">
      <alignment horizontal="center"/>
    </xf>
    <xf numFmtId="0" fontId="3" fillId="0" borderId="26" xfId="0" applyFont="1" applyBorder="1" applyAlignment="1">
      <alignment horizontal="center"/>
    </xf>
    <xf numFmtId="0" fontId="3" fillId="0" borderId="11" xfId="0" applyFont="1" applyBorder="1" applyAlignment="1">
      <alignment horizontal="center"/>
    </xf>
    <xf numFmtId="0" fontId="7" fillId="0" borderId="0" xfId="0" applyFont="1" applyBorder="1" applyAlignment="1">
      <alignment horizontal="center"/>
    </xf>
    <xf numFmtId="0" fontId="3" fillId="0" borderId="0" xfId="0" applyFont="1" applyAlignment="1">
      <alignment horizontal="center"/>
    </xf>
    <xf numFmtId="0" fontId="44" fillId="0" borderId="29" xfId="0" applyFont="1" applyBorder="1" applyAlignment="1" applyProtection="1">
      <alignment horizontal="center" vertical="center"/>
      <protection locked="0"/>
    </xf>
    <xf numFmtId="0" fontId="44" fillId="0" borderId="30" xfId="0" applyFont="1" applyBorder="1" applyAlignment="1" applyProtection="1">
      <alignment horizontal="center" vertical="center"/>
      <protection locked="0"/>
    </xf>
    <xf numFmtId="0" fontId="44" fillId="0" borderId="31"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44" fillId="0" borderId="23" xfId="0" applyFont="1" applyBorder="1" applyAlignment="1" applyProtection="1">
      <alignment horizontal="center" vertical="center"/>
      <protection locked="0"/>
    </xf>
    <xf numFmtId="0" fontId="44" fillId="0" borderId="17" xfId="0" applyFont="1" applyBorder="1" applyAlignment="1" applyProtection="1">
      <alignment horizontal="center" vertical="center" wrapText="1"/>
      <protection locked="0"/>
    </xf>
    <xf numFmtId="0" fontId="44" fillId="0" borderId="21"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29" fillId="0" borderId="0" xfId="0" applyFont="1" applyAlignment="1">
      <alignment horizontal="center"/>
    </xf>
    <xf numFmtId="0" fontId="42" fillId="0" borderId="0" xfId="0" applyFont="1" applyAlignment="1">
      <alignment horizontal="center"/>
    </xf>
    <xf numFmtId="0" fontId="28" fillId="0" borderId="26" xfId="0" applyFont="1" applyBorder="1" applyAlignment="1">
      <alignment horizontal="center" vertical="center" wrapText="1"/>
    </xf>
    <xf numFmtId="0" fontId="28" fillId="0" borderId="27" xfId="0" applyFont="1" applyBorder="1" applyAlignment="1">
      <alignment horizontal="center" vertical="center"/>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3" xfId="0" applyFont="1" applyBorder="1" applyAlignment="1">
      <alignment horizontal="center" vertical="center"/>
    </xf>
    <xf numFmtId="0" fontId="28" fillId="0" borderId="26" xfId="0" applyFont="1" applyBorder="1" applyAlignment="1">
      <alignment horizontal="center" vertical="center"/>
    </xf>
    <xf numFmtId="0" fontId="28" fillId="0" borderId="11" xfId="0" applyFont="1" applyBorder="1" applyAlignment="1">
      <alignment horizontal="center" vertical="center" wrapText="1"/>
    </xf>
    <xf numFmtId="0" fontId="19" fillId="0" borderId="15" xfId="59" applyFont="1" applyFill="1" applyBorder="1" applyAlignment="1">
      <alignment horizontal="center"/>
      <protection/>
    </xf>
    <xf numFmtId="0" fontId="19" fillId="0" borderId="13" xfId="59" applyFont="1" applyFill="1" applyBorder="1" applyAlignment="1">
      <alignment horizontal="center"/>
      <protection/>
    </xf>
    <xf numFmtId="0" fontId="19" fillId="0" borderId="10" xfId="59" applyFont="1" applyBorder="1" applyAlignment="1">
      <alignment horizontal="center"/>
      <protection/>
    </xf>
    <xf numFmtId="0" fontId="1" fillId="0" borderId="32" xfId="0" applyFont="1" applyBorder="1" applyAlignment="1">
      <alignment horizontal="center"/>
    </xf>
    <xf numFmtId="0" fontId="3" fillId="0" borderId="32" xfId="0" applyFont="1" applyBorder="1" applyAlignment="1">
      <alignment horizontal="center"/>
    </xf>
    <xf numFmtId="0" fontId="20" fillId="0" borderId="13" xfId="59" applyFont="1" applyFill="1" applyBorder="1" applyAlignment="1">
      <alignment horizontal="center"/>
      <protection/>
    </xf>
    <xf numFmtId="0" fontId="20" fillId="0" borderId="10" xfId="59" applyFont="1" applyFill="1" applyBorder="1" applyAlignment="1">
      <alignment horizontal="center"/>
      <protection/>
    </xf>
    <xf numFmtId="0" fontId="4" fillId="0" borderId="0" xfId="0" applyFont="1" applyAlignment="1">
      <alignment horizontal="left" wrapText="1"/>
    </xf>
    <xf numFmtId="0" fontId="4" fillId="0" borderId="0" xfId="0" applyFont="1" applyAlignment="1">
      <alignment horizontal="left"/>
    </xf>
    <xf numFmtId="0" fontId="1" fillId="0" borderId="26" xfId="0" applyFont="1" applyBorder="1" applyAlignment="1">
      <alignment horizontal="center" wrapText="1"/>
    </xf>
    <xf numFmtId="0" fontId="1" fillId="0" borderId="11" xfId="0" applyFont="1" applyBorder="1" applyAlignment="1">
      <alignment horizontal="center" wrapText="1"/>
    </xf>
    <xf numFmtId="0" fontId="19" fillId="0" borderId="13" xfId="59" applyFont="1" applyFill="1" applyBorder="1" applyAlignment="1">
      <alignment horizontal="left"/>
      <protection/>
    </xf>
    <xf numFmtId="0" fontId="19" fillId="0" borderId="10" xfId="59" applyFont="1" applyFill="1" applyBorder="1" applyAlignment="1">
      <alignment horizontal="left"/>
      <protection/>
    </xf>
    <xf numFmtId="0" fontId="19" fillId="0" borderId="10" xfId="59" applyFont="1" applyFill="1" applyBorder="1" applyAlignment="1">
      <alignment horizontal="center"/>
      <protection/>
    </xf>
    <xf numFmtId="3" fontId="32" fillId="0" borderId="10" xfId="59" applyNumberFormat="1" applyFont="1" applyBorder="1" applyAlignment="1">
      <alignment horizontal="center" wrapText="1"/>
      <protection/>
    </xf>
    <xf numFmtId="0" fontId="24" fillId="0" borderId="13" xfId="59" applyFont="1" applyBorder="1" applyAlignment="1">
      <alignment horizontal="center"/>
      <protection/>
    </xf>
    <xf numFmtId="0" fontId="24" fillId="0" borderId="10" xfId="59" applyFont="1" applyBorder="1" applyAlignment="1">
      <alignment horizontal="center"/>
      <protection/>
    </xf>
    <xf numFmtId="0" fontId="19" fillId="0" borderId="15" xfId="59" applyFont="1" applyBorder="1" applyAlignment="1">
      <alignment horizontal="center"/>
      <protection/>
    </xf>
    <xf numFmtId="0" fontId="19" fillId="0" borderId="13" xfId="59" applyFont="1" applyBorder="1" applyAlignment="1">
      <alignment horizontal="center"/>
      <protection/>
    </xf>
    <xf numFmtId="0" fontId="32" fillId="0" borderId="10" xfId="59" applyFont="1" applyBorder="1" applyAlignment="1">
      <alignment horizontal="center" vertical="center" wrapText="1"/>
      <protection/>
    </xf>
    <xf numFmtId="0" fontId="32" fillId="0" borderId="10" xfId="59" applyFont="1" applyBorder="1" applyAlignment="1">
      <alignment horizontal="center" vertical="center"/>
      <protection/>
    </xf>
    <xf numFmtId="0" fontId="1" fillId="0" borderId="10" xfId="0" applyFont="1" applyBorder="1" applyAlignment="1">
      <alignment horizontal="center" vertical="center" wrapText="1"/>
    </xf>
    <xf numFmtId="0" fontId="1" fillId="35" borderId="0" xfId="0" applyFont="1" applyFill="1" applyAlignment="1">
      <alignment horizontal="center"/>
    </xf>
    <xf numFmtId="3" fontId="47" fillId="0" borderId="24" xfId="0" applyNumberFormat="1" applyFont="1" applyBorder="1" applyAlignment="1" applyProtection="1">
      <alignment horizontal="righ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46"/>
  <sheetViews>
    <sheetView zoomScalePageLayoutView="0" workbookViewId="0" topLeftCell="A1">
      <selection activeCell="C35" sqref="C35"/>
    </sheetView>
  </sheetViews>
  <sheetFormatPr defaultColWidth="9.140625" defaultRowHeight="12.75"/>
  <cols>
    <col min="1" max="1" width="5.57421875" style="22" customWidth="1"/>
    <col min="2" max="2" width="49.28125" style="22" customWidth="1"/>
    <col min="3" max="3" width="45.7109375" style="22" customWidth="1"/>
    <col min="4" max="4" width="42.00390625" style="22" customWidth="1"/>
    <col min="5" max="5" width="20.421875" style="22" customWidth="1"/>
    <col min="6" max="16384" width="9.140625" style="22" customWidth="1"/>
  </cols>
  <sheetData>
    <row r="2" spans="1:4" ht="12.75">
      <c r="A2" s="32" t="s">
        <v>42</v>
      </c>
      <c r="B2" s="32"/>
      <c r="C2" s="32"/>
      <c r="D2" s="32"/>
    </row>
    <row r="4" spans="1:3" ht="15.75">
      <c r="A4" s="7" t="s">
        <v>16</v>
      </c>
      <c r="B4" s="7"/>
      <c r="C4" s="7"/>
    </row>
    <row r="5" spans="1:3" ht="15.75">
      <c r="A5" s="7" t="s">
        <v>12</v>
      </c>
      <c r="B5" s="7"/>
      <c r="C5" s="7"/>
    </row>
    <row r="6" ht="12.75">
      <c r="A6" s="3"/>
    </row>
    <row r="7" spans="1:3" ht="18">
      <c r="A7" s="204" t="s">
        <v>14</v>
      </c>
      <c r="B7" s="204"/>
      <c r="C7" s="204"/>
    </row>
    <row r="8" spans="1:3" ht="18">
      <c r="A8" s="204" t="s">
        <v>50</v>
      </c>
      <c r="B8" s="204"/>
      <c r="C8" s="204"/>
    </row>
    <row r="9" spans="1:3" ht="18">
      <c r="A9" s="204" t="s">
        <v>245</v>
      </c>
      <c r="B9" s="204"/>
      <c r="C9" s="204"/>
    </row>
    <row r="10" spans="1:6" ht="21" customHeight="1">
      <c r="A10" s="205" t="s">
        <v>251</v>
      </c>
      <c r="B10" s="205"/>
      <c r="C10" s="205"/>
      <c r="D10" s="32"/>
      <c r="E10" s="32"/>
      <c r="F10" s="32"/>
    </row>
    <row r="11" spans="1:3" ht="23.25">
      <c r="A11" s="11"/>
      <c r="B11" s="17" t="s">
        <v>9</v>
      </c>
      <c r="C11" s="18" t="s">
        <v>31</v>
      </c>
    </row>
    <row r="12" spans="1:3" ht="23.25">
      <c r="A12" s="11"/>
      <c r="B12" s="26" t="s">
        <v>246</v>
      </c>
      <c r="C12" s="18"/>
    </row>
    <row r="13" spans="1:3" ht="23.25">
      <c r="A13" s="11"/>
      <c r="B13" s="26" t="s">
        <v>244</v>
      </c>
      <c r="C13" s="18"/>
    </row>
    <row r="14" spans="1:3" ht="15.75">
      <c r="A14" s="5" t="s">
        <v>0</v>
      </c>
      <c r="B14" s="4" t="s">
        <v>8</v>
      </c>
      <c r="C14" s="4" t="s">
        <v>1</v>
      </c>
    </row>
    <row r="15" spans="1:3" ht="15.75">
      <c r="A15" s="12"/>
      <c r="B15" s="23"/>
      <c r="C15" s="21"/>
    </row>
    <row r="16" spans="1:3" ht="15.75">
      <c r="A16" s="2"/>
      <c r="B16" s="5" t="s">
        <v>4</v>
      </c>
      <c r="C16" s="4"/>
    </row>
    <row r="17" spans="1:3" ht="15.75">
      <c r="A17" s="2"/>
      <c r="B17" s="5" t="s">
        <v>10</v>
      </c>
      <c r="C17" s="4"/>
    </row>
    <row r="18" spans="1:3" ht="15.75">
      <c r="A18" s="2"/>
      <c r="B18" s="5" t="s">
        <v>253</v>
      </c>
      <c r="C18" s="9">
        <f>C19+C25</f>
        <v>9023116680</v>
      </c>
    </row>
    <row r="19" spans="1:3" ht="15.75">
      <c r="A19" s="2" t="s">
        <v>2</v>
      </c>
      <c r="B19" s="5" t="s">
        <v>17</v>
      </c>
      <c r="C19" s="9">
        <f>SUM(C20:C24)</f>
        <v>6949177210</v>
      </c>
    </row>
    <row r="20" spans="1:4" ht="39" customHeight="1">
      <c r="A20" s="2"/>
      <c r="B20" s="116" t="s">
        <v>247</v>
      </c>
      <c r="C20" s="20">
        <v>4048923122</v>
      </c>
      <c r="D20" s="35">
        <f>C20+C21</f>
        <v>4156923122</v>
      </c>
    </row>
    <row r="21" spans="1:3" ht="15">
      <c r="A21" s="2"/>
      <c r="B21" s="6" t="s">
        <v>18</v>
      </c>
      <c r="C21" s="20">
        <v>108000000</v>
      </c>
    </row>
    <row r="22" spans="1:3" ht="15">
      <c r="A22" s="2"/>
      <c r="B22" s="6" t="s">
        <v>19</v>
      </c>
      <c r="C22" s="20">
        <f>972000000+686800000</f>
        <v>1658800000</v>
      </c>
    </row>
    <row r="23" spans="1:3" ht="30">
      <c r="A23" s="2"/>
      <c r="B23" s="116" t="s">
        <v>248</v>
      </c>
      <c r="C23" s="20">
        <v>936940888</v>
      </c>
    </row>
    <row r="24" spans="1:3" ht="22.5" customHeight="1">
      <c r="A24" s="2"/>
      <c r="B24" s="116" t="s">
        <v>249</v>
      </c>
      <c r="C24" s="20">
        <v>196513200</v>
      </c>
    </row>
    <row r="25" spans="1:4" ht="15.75">
      <c r="A25" s="2" t="s">
        <v>3</v>
      </c>
      <c r="B25" s="5" t="s">
        <v>20</v>
      </c>
      <c r="C25" s="9">
        <f>SUM(C26:C33)</f>
        <v>2073939470</v>
      </c>
      <c r="D25" s="9">
        <v>2506416623</v>
      </c>
    </row>
    <row r="26" spans="1:3" ht="15">
      <c r="A26" s="2"/>
      <c r="B26" s="6" t="s">
        <v>240</v>
      </c>
      <c r="C26" s="20">
        <v>48000000</v>
      </c>
    </row>
    <row r="27" spans="1:3" ht="15">
      <c r="A27" s="2"/>
      <c r="B27" s="6" t="s">
        <v>241</v>
      </c>
      <c r="C27" s="20">
        <f>345000000+81324470</f>
        <v>426324470</v>
      </c>
    </row>
    <row r="28" spans="1:3" ht="15">
      <c r="A28" s="2"/>
      <c r="B28" s="6" t="s">
        <v>78</v>
      </c>
      <c r="C28" s="20">
        <v>1265915000</v>
      </c>
    </row>
    <row r="29" spans="1:4" ht="15">
      <c r="A29" s="2"/>
      <c r="B29" s="6" t="s">
        <v>242</v>
      </c>
      <c r="C29" s="20">
        <v>20000000</v>
      </c>
      <c r="D29" s="35">
        <f>C20+C21+C23+C24</f>
        <v>5290377210</v>
      </c>
    </row>
    <row r="30" spans="1:3" ht="15">
      <c r="A30" s="2"/>
      <c r="B30" s="6" t="s">
        <v>243</v>
      </c>
      <c r="C30" s="20">
        <v>13500000</v>
      </c>
    </row>
    <row r="31" spans="1:3" ht="15">
      <c r="A31" s="2"/>
      <c r="B31" s="6" t="s">
        <v>134</v>
      </c>
      <c r="C31" s="20">
        <v>1200000</v>
      </c>
    </row>
    <row r="32" spans="1:3" ht="15">
      <c r="A32" s="2"/>
      <c r="B32" s="6" t="s">
        <v>79</v>
      </c>
      <c r="C32" s="20">
        <v>150000000</v>
      </c>
    </row>
    <row r="33" spans="1:3" ht="15">
      <c r="A33" s="2"/>
      <c r="B33" s="6" t="s">
        <v>250</v>
      </c>
      <c r="C33" s="20">
        <v>149000000</v>
      </c>
    </row>
    <row r="34" spans="1:3" ht="18">
      <c r="A34" s="13"/>
      <c r="B34" s="14" t="s">
        <v>43</v>
      </c>
      <c r="C34" s="9">
        <f>C18</f>
        <v>9023116680</v>
      </c>
    </row>
    <row r="35" spans="1:3" ht="15.75">
      <c r="A35" s="2"/>
      <c r="B35" s="4"/>
      <c r="C35" s="9"/>
    </row>
    <row r="36" spans="1:3" ht="15">
      <c r="A36" s="3"/>
      <c r="C36" s="16" t="s">
        <v>252</v>
      </c>
    </row>
    <row r="37" spans="1:3" ht="15.75">
      <c r="A37" s="3"/>
      <c r="B37" s="31" t="s">
        <v>30</v>
      </c>
      <c r="C37" s="15" t="s">
        <v>44</v>
      </c>
    </row>
    <row r="38" ht="15.75">
      <c r="B38" s="7"/>
    </row>
    <row r="39" ht="15">
      <c r="B39" s="25"/>
    </row>
    <row r="40" ht="15">
      <c r="B40" s="25"/>
    </row>
    <row r="41" ht="15">
      <c r="B41" s="25"/>
    </row>
    <row r="42" ht="15">
      <c r="B42" s="25"/>
    </row>
    <row r="43" ht="15">
      <c r="B43" s="25"/>
    </row>
    <row r="44" spans="2:4" ht="21" customHeight="1">
      <c r="B44" s="99" t="s">
        <v>225</v>
      </c>
      <c r="C44" s="15" t="s">
        <v>23</v>
      </c>
      <c r="D44" s="115"/>
    </row>
    <row r="45" ht="15.75">
      <c r="B45" s="7"/>
    </row>
    <row r="46" ht="21" customHeight="1">
      <c r="B46" s="7"/>
    </row>
  </sheetData>
  <sheetProtection/>
  <mergeCells count="4">
    <mergeCell ref="A7:C7"/>
    <mergeCell ref="A8:C8"/>
    <mergeCell ref="A9:C9"/>
    <mergeCell ref="A10:C10"/>
  </mergeCells>
  <printOptions horizontalCentered="1"/>
  <pageMargins left="0" right="0"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O264"/>
  <sheetViews>
    <sheetView tabSelected="1" zoomScalePageLayoutView="0" workbookViewId="0" topLeftCell="A91">
      <selection activeCell="C125" sqref="C125:D125"/>
    </sheetView>
  </sheetViews>
  <sheetFormatPr defaultColWidth="9.140625" defaultRowHeight="12.75"/>
  <cols>
    <col min="1" max="1" width="4.421875" style="0" customWidth="1"/>
    <col min="2" max="2" width="29.57421875" style="0" customWidth="1"/>
    <col min="3" max="3" width="14.421875" style="0" customWidth="1"/>
    <col min="4" max="4" width="17.57421875" style="0" customWidth="1"/>
    <col min="5" max="5" width="14.00390625" style="0" customWidth="1"/>
    <col min="6" max="6" width="14.57421875" style="0" customWidth="1"/>
    <col min="7" max="7" width="9.8515625" style="0" customWidth="1"/>
    <col min="11" max="11" width="17.140625" style="0" customWidth="1"/>
    <col min="12" max="12" width="14.8515625" style="27" customWidth="1"/>
    <col min="13" max="13" width="15.421875" style="27" customWidth="1"/>
    <col min="14" max="14" width="14.8515625" style="27" customWidth="1"/>
    <col min="15" max="15" width="15.28125" style="27" customWidth="1"/>
    <col min="16" max="16" width="20.7109375" style="0" customWidth="1"/>
  </cols>
  <sheetData>
    <row r="1" spans="1:15" s="22" customFormat="1" ht="15.75" customHeight="1">
      <c r="A1" s="111"/>
      <c r="B1" s="112"/>
      <c r="C1" s="113"/>
      <c r="D1" s="113"/>
      <c r="E1" s="113"/>
      <c r="F1" s="114"/>
      <c r="G1" s="112"/>
      <c r="L1" s="34"/>
      <c r="M1" s="34"/>
      <c r="N1" s="34"/>
      <c r="O1" s="34"/>
    </row>
    <row r="2" spans="1:15" s="22" customFormat="1" ht="15.75" customHeight="1">
      <c r="A2" s="205" t="s">
        <v>32</v>
      </c>
      <c r="B2" s="205"/>
      <c r="C2" s="205"/>
      <c r="D2" s="205"/>
      <c r="E2" s="205"/>
      <c r="F2" s="205"/>
      <c r="G2" s="205"/>
      <c r="L2" s="34"/>
      <c r="M2" s="34"/>
      <c r="N2" s="34"/>
      <c r="O2" s="34"/>
    </row>
    <row r="3" spans="1:15" s="22" customFormat="1" ht="15.75" customHeight="1">
      <c r="A3" s="111"/>
      <c r="B3" s="112"/>
      <c r="C3" s="113"/>
      <c r="D3" s="113"/>
      <c r="E3" s="113"/>
      <c r="F3" s="114"/>
      <c r="G3" s="112"/>
      <c r="L3" s="34"/>
      <c r="M3" s="34"/>
      <c r="N3" s="34"/>
      <c r="O3" s="34"/>
    </row>
    <row r="4" spans="1:15" s="22" customFormat="1" ht="15.75" customHeight="1">
      <c r="A4" s="7" t="s">
        <v>21</v>
      </c>
      <c r="B4" s="7"/>
      <c r="C4" s="7"/>
      <c r="D4" s="3"/>
      <c r="E4"/>
      <c r="F4"/>
      <c r="G4"/>
      <c r="L4" s="34"/>
      <c r="M4" s="34"/>
      <c r="N4" s="34"/>
      <c r="O4" s="34"/>
    </row>
    <row r="5" spans="1:15" s="22" customFormat="1" ht="15.75" customHeight="1">
      <c r="A5" s="7" t="s">
        <v>12</v>
      </c>
      <c r="B5" s="7"/>
      <c r="C5" s="7"/>
      <c r="D5" s="3"/>
      <c r="E5"/>
      <c r="F5"/>
      <c r="G5"/>
      <c r="L5" s="34"/>
      <c r="M5" s="34"/>
      <c r="N5" s="34"/>
      <c r="O5" s="34"/>
    </row>
    <row r="6" spans="1:15" s="22" customFormat="1" ht="15.75" customHeight="1">
      <c r="A6" s="3"/>
      <c r="B6"/>
      <c r="C6"/>
      <c r="D6"/>
      <c r="E6"/>
      <c r="F6"/>
      <c r="G6"/>
      <c r="L6" s="34"/>
      <c r="M6" s="34"/>
      <c r="N6" s="34"/>
      <c r="O6" s="34"/>
    </row>
    <row r="7" spans="1:15" s="22" customFormat="1" ht="21.75" customHeight="1">
      <c r="A7" s="204" t="s">
        <v>14</v>
      </c>
      <c r="B7" s="204"/>
      <c r="C7" s="204"/>
      <c r="D7" s="204"/>
      <c r="E7" s="204"/>
      <c r="F7" s="204"/>
      <c r="G7" s="204"/>
      <c r="L7" s="34"/>
      <c r="M7" s="34"/>
      <c r="N7" s="34"/>
      <c r="O7" s="34"/>
    </row>
    <row r="8" spans="1:15" s="22" customFormat="1" ht="19.5" customHeight="1">
      <c r="A8" s="204" t="s">
        <v>352</v>
      </c>
      <c r="B8" s="204"/>
      <c r="C8" s="204"/>
      <c r="D8" s="204"/>
      <c r="E8" s="204"/>
      <c r="F8" s="204"/>
      <c r="G8"/>
      <c r="L8" s="34"/>
      <c r="M8" s="34"/>
      <c r="N8" s="34"/>
      <c r="O8" s="34"/>
    </row>
    <row r="9" spans="1:15" s="22" customFormat="1" ht="15.75" customHeight="1" thickBot="1">
      <c r="A9" s="3"/>
      <c r="B9" s="7"/>
      <c r="C9" s="7"/>
      <c r="D9" s="18" t="s">
        <v>15</v>
      </c>
      <c r="E9" s="18"/>
      <c r="F9"/>
      <c r="G9"/>
      <c r="L9" s="34"/>
      <c r="M9" s="34"/>
      <c r="N9" s="34"/>
      <c r="O9" s="34"/>
    </row>
    <row r="10" spans="1:15" s="22" customFormat="1" ht="15.75" customHeight="1" thickBot="1">
      <c r="A10" s="160" t="s">
        <v>307</v>
      </c>
      <c r="B10" s="161"/>
      <c r="C10" s="218" t="s">
        <v>308</v>
      </c>
      <c r="D10" s="219"/>
      <c r="E10" s="219"/>
      <c r="F10" s="220"/>
      <c r="G10" s="221" t="s">
        <v>309</v>
      </c>
      <c r="L10" s="34"/>
      <c r="M10" s="34"/>
      <c r="N10" s="34"/>
      <c r="O10" s="34"/>
    </row>
    <row r="11" spans="1:15" s="22" customFormat="1" ht="15.75" customHeight="1">
      <c r="A11" s="162" t="s">
        <v>0</v>
      </c>
      <c r="B11" s="163" t="s">
        <v>310</v>
      </c>
      <c r="C11" s="164" t="s">
        <v>311</v>
      </c>
      <c r="D11" s="224" t="s">
        <v>312</v>
      </c>
      <c r="E11" s="226" t="s">
        <v>27</v>
      </c>
      <c r="F11" s="226" t="s">
        <v>313</v>
      </c>
      <c r="G11" s="222"/>
      <c r="L11" s="34"/>
      <c r="M11" s="34"/>
      <c r="N11" s="34"/>
      <c r="O11" s="34"/>
    </row>
    <row r="12" spans="1:15" s="22" customFormat="1" ht="15.75" customHeight="1" thickBot="1">
      <c r="A12" s="165"/>
      <c r="B12" s="166"/>
      <c r="C12" s="167" t="s">
        <v>314</v>
      </c>
      <c r="D12" s="225"/>
      <c r="E12" s="227"/>
      <c r="F12" s="227"/>
      <c r="G12" s="223"/>
      <c r="L12" s="34"/>
      <c r="M12" s="34"/>
      <c r="N12" s="34"/>
      <c r="O12" s="34"/>
    </row>
    <row r="13" spans="1:15" s="22" customFormat="1" ht="15.75" customHeight="1" thickBot="1">
      <c r="A13" s="168" t="s">
        <v>315</v>
      </c>
      <c r="B13" s="169" t="s">
        <v>316</v>
      </c>
      <c r="C13" s="169">
        <v>1</v>
      </c>
      <c r="D13" s="169">
        <v>2</v>
      </c>
      <c r="E13" s="170">
        <v>3</v>
      </c>
      <c r="F13" s="169">
        <v>4</v>
      </c>
      <c r="G13" s="170" t="s">
        <v>317</v>
      </c>
      <c r="L13" s="34"/>
      <c r="M13" s="34"/>
      <c r="N13" s="34"/>
      <c r="O13" s="34"/>
    </row>
    <row r="14" spans="1:15" s="22" customFormat="1" ht="15.75" customHeight="1" thickBot="1">
      <c r="A14" s="171">
        <v>1</v>
      </c>
      <c r="B14" s="172" t="s">
        <v>318</v>
      </c>
      <c r="C14" s="203">
        <v>9381000</v>
      </c>
      <c r="D14" s="172"/>
      <c r="E14" s="172"/>
      <c r="F14" s="203">
        <v>9381000</v>
      </c>
      <c r="G14" s="170"/>
      <c r="L14" s="34"/>
      <c r="M14" s="34"/>
      <c r="N14" s="34"/>
      <c r="O14" s="34"/>
    </row>
    <row r="15" spans="1:15" s="22" customFormat="1" ht="15.75" customHeight="1" thickBot="1">
      <c r="A15" s="171">
        <v>2</v>
      </c>
      <c r="B15" s="172" t="s">
        <v>319</v>
      </c>
      <c r="C15" s="203">
        <v>8457000</v>
      </c>
      <c r="D15" s="172"/>
      <c r="E15" s="173"/>
      <c r="F15" s="203">
        <v>8457000</v>
      </c>
      <c r="G15" s="170"/>
      <c r="L15" s="34"/>
      <c r="M15" s="34"/>
      <c r="N15" s="34"/>
      <c r="O15" s="34"/>
    </row>
    <row r="16" spans="1:15" s="22" customFormat="1" ht="15.75" customHeight="1" thickBot="1">
      <c r="A16" s="171">
        <v>3</v>
      </c>
      <c r="B16" s="172" t="s">
        <v>320</v>
      </c>
      <c r="C16" s="203">
        <v>31033322</v>
      </c>
      <c r="D16" s="174"/>
      <c r="E16" s="175"/>
      <c r="F16" s="203">
        <v>31033322</v>
      </c>
      <c r="G16" s="170"/>
      <c r="L16" s="34"/>
      <c r="M16" s="34"/>
      <c r="N16" s="34"/>
      <c r="O16" s="34"/>
    </row>
    <row r="17" spans="1:15" s="22" customFormat="1" ht="15.75" customHeight="1" thickBot="1">
      <c r="A17" s="171">
        <v>4</v>
      </c>
      <c r="B17" s="172" t="s">
        <v>321</v>
      </c>
      <c r="C17" s="173"/>
      <c r="D17" s="172"/>
      <c r="E17" s="173"/>
      <c r="F17" s="173"/>
      <c r="G17" s="170"/>
      <c r="L17" s="34"/>
      <c r="M17" s="34"/>
      <c r="N17" s="34"/>
      <c r="O17" s="34"/>
    </row>
    <row r="18" spans="1:15" s="22" customFormat="1" ht="15.75" customHeight="1" thickBot="1">
      <c r="A18" s="171">
        <v>5</v>
      </c>
      <c r="B18" s="172" t="s">
        <v>322</v>
      </c>
      <c r="C18" s="172"/>
      <c r="D18" s="172"/>
      <c r="E18" s="175"/>
      <c r="F18" s="176" t="s">
        <v>323</v>
      </c>
      <c r="G18" s="170"/>
      <c r="L18" s="34"/>
      <c r="M18" s="34"/>
      <c r="N18" s="34"/>
      <c r="O18" s="34"/>
    </row>
    <row r="19" spans="1:15" s="22" customFormat="1" ht="15.75" customHeight="1" thickBot="1">
      <c r="A19" s="171">
        <v>6</v>
      </c>
      <c r="B19" s="172" t="s">
        <v>324</v>
      </c>
      <c r="C19" s="173"/>
      <c r="D19" s="172"/>
      <c r="E19" s="173"/>
      <c r="F19" s="176" t="s">
        <v>323</v>
      </c>
      <c r="G19" s="170"/>
      <c r="L19" s="34"/>
      <c r="M19" s="34"/>
      <c r="N19" s="34"/>
      <c r="O19" s="34"/>
    </row>
    <row r="20" spans="1:15" s="22" customFormat="1" ht="15.75" customHeight="1" thickBot="1">
      <c r="A20" s="171">
        <v>7</v>
      </c>
      <c r="B20" s="172" t="s">
        <v>325</v>
      </c>
      <c r="C20" s="172"/>
      <c r="D20" s="172"/>
      <c r="E20" s="172"/>
      <c r="F20" s="176" t="s">
        <v>323</v>
      </c>
      <c r="G20" s="170"/>
      <c r="L20" s="34"/>
      <c r="M20" s="34"/>
      <c r="N20" s="34"/>
      <c r="O20" s="34"/>
    </row>
    <row r="21" spans="1:15" s="22" customFormat="1" ht="15.75" customHeight="1" thickBot="1">
      <c r="A21" s="171">
        <v>8</v>
      </c>
      <c r="B21" s="172" t="s">
        <v>326</v>
      </c>
      <c r="C21" s="172"/>
      <c r="D21" s="177"/>
      <c r="E21" s="173"/>
      <c r="F21" s="176" t="s">
        <v>323</v>
      </c>
      <c r="G21" s="170"/>
      <c r="L21" s="34"/>
      <c r="M21" s="34"/>
      <c r="N21" s="34"/>
      <c r="O21" s="34"/>
    </row>
    <row r="22" spans="1:15" s="22" customFormat="1" ht="15.75" customHeight="1" thickBot="1">
      <c r="A22" s="171">
        <v>9</v>
      </c>
      <c r="B22" s="172" t="s">
        <v>327</v>
      </c>
      <c r="C22" s="173"/>
      <c r="D22" s="177"/>
      <c r="E22" s="173"/>
      <c r="F22" s="173"/>
      <c r="G22" s="170"/>
      <c r="L22" s="34"/>
      <c r="M22" s="34"/>
      <c r="N22" s="34"/>
      <c r="O22" s="34"/>
    </row>
    <row r="23" spans="1:15" s="22" customFormat="1" ht="15.75" customHeight="1" thickBot="1">
      <c r="A23" s="171">
        <v>10</v>
      </c>
      <c r="B23" s="172" t="s">
        <v>328</v>
      </c>
      <c r="C23" s="173"/>
      <c r="D23" s="173"/>
      <c r="E23" s="177"/>
      <c r="F23" s="173"/>
      <c r="G23" s="170"/>
      <c r="L23" s="34"/>
      <c r="M23" s="34"/>
      <c r="N23" s="34"/>
      <c r="O23" s="34"/>
    </row>
    <row r="24" spans="1:15" s="22" customFormat="1" ht="15.75" customHeight="1" thickBot="1">
      <c r="A24" s="171">
        <v>11</v>
      </c>
      <c r="B24" s="172" t="s">
        <v>329</v>
      </c>
      <c r="C24" s="173"/>
      <c r="D24" s="173"/>
      <c r="E24" s="173"/>
      <c r="F24" s="173"/>
      <c r="G24" s="170"/>
      <c r="L24" s="34"/>
      <c r="M24" s="34"/>
      <c r="N24" s="34"/>
      <c r="O24" s="34"/>
    </row>
    <row r="25" spans="1:15" s="22" customFormat="1" ht="15.75" customHeight="1" thickBot="1">
      <c r="A25" s="171">
        <v>12</v>
      </c>
      <c r="B25" s="172" t="s">
        <v>330</v>
      </c>
      <c r="C25" s="173">
        <v>6977000</v>
      </c>
      <c r="D25" s="178"/>
      <c r="E25" s="179"/>
      <c r="F25" s="180">
        <f>C25</f>
        <v>6977000</v>
      </c>
      <c r="G25" s="170"/>
      <c r="L25" s="34"/>
      <c r="M25" s="34"/>
      <c r="N25" s="34"/>
      <c r="O25" s="34"/>
    </row>
    <row r="26" spans="1:15" s="22" customFormat="1" ht="15.75" customHeight="1" thickBot="1">
      <c r="A26" s="181"/>
      <c r="B26" s="171" t="s">
        <v>331</v>
      </c>
      <c r="C26" s="173">
        <f>SUM(C14:C25)</f>
        <v>55848322</v>
      </c>
      <c r="D26" s="173">
        <f>SUM(D14:D25)</f>
        <v>0</v>
      </c>
      <c r="E26" s="173">
        <f>SUM(E14:E25)</f>
        <v>0</v>
      </c>
      <c r="F26" s="173">
        <f>SUM(F14:F25)</f>
        <v>55848322</v>
      </c>
      <c r="G26" s="170"/>
      <c r="L26" s="34"/>
      <c r="M26" s="34"/>
      <c r="N26" s="34"/>
      <c r="O26" s="34"/>
    </row>
    <row r="27" spans="1:15" s="22" customFormat="1" ht="15.75" customHeight="1">
      <c r="A27" s="182"/>
      <c r="B27" s="182"/>
      <c r="C27" s="183"/>
      <c r="D27" s="182"/>
      <c r="E27" s="182"/>
      <c r="F27" s="182"/>
      <c r="G27" s="182"/>
      <c r="L27" s="34"/>
      <c r="M27" s="34"/>
      <c r="N27" s="34"/>
      <c r="O27" s="34"/>
    </row>
    <row r="28" spans="1:15" s="22" customFormat="1" ht="15.75" customHeight="1">
      <c r="A28" s="182"/>
      <c r="B28" s="182"/>
      <c r="C28" s="182"/>
      <c r="D28" s="182"/>
      <c r="E28" s="182"/>
      <c r="F28" s="182"/>
      <c r="G28" s="182"/>
      <c r="L28" s="34"/>
      <c r="M28" s="34"/>
      <c r="N28" s="34"/>
      <c r="O28" s="34"/>
    </row>
    <row r="29" spans="1:15" s="22" customFormat="1" ht="15.75" customHeight="1">
      <c r="A29" s="157"/>
      <c r="B29" s="157"/>
      <c r="C29" s="228" t="s">
        <v>355</v>
      </c>
      <c r="D29" s="228"/>
      <c r="E29" s="228"/>
      <c r="F29" s="228"/>
      <c r="G29" s="228"/>
      <c r="L29" s="34"/>
      <c r="M29" s="34"/>
      <c r="N29" s="34"/>
      <c r="O29" s="34"/>
    </row>
    <row r="30" spans="1:15" s="22" customFormat="1" ht="15.75" customHeight="1">
      <c r="A30" s="156"/>
      <c r="B30" s="184" t="s">
        <v>332</v>
      </c>
      <c r="C30" s="210" t="s">
        <v>333</v>
      </c>
      <c r="D30" s="210"/>
      <c r="E30" s="210" t="s">
        <v>334</v>
      </c>
      <c r="F30" s="210"/>
      <c r="G30" s="156"/>
      <c r="L30" s="34"/>
      <c r="M30" s="34"/>
      <c r="N30" s="34"/>
      <c r="O30" s="34"/>
    </row>
    <row r="31" spans="1:15" s="22" customFormat="1" ht="15.75" customHeight="1">
      <c r="A31" s="157"/>
      <c r="B31" s="157"/>
      <c r="C31" s="157"/>
      <c r="D31" s="157"/>
      <c r="E31" s="157"/>
      <c r="F31" s="157"/>
      <c r="G31" s="157"/>
      <c r="L31" s="34"/>
      <c r="M31" s="34"/>
      <c r="N31" s="34"/>
      <c r="O31" s="34"/>
    </row>
    <row r="32" spans="1:15" s="22" customFormat="1" ht="15.75" customHeight="1">
      <c r="A32"/>
      <c r="B32"/>
      <c r="C32"/>
      <c r="D32"/>
      <c r="E32"/>
      <c r="F32"/>
      <c r="G32"/>
      <c r="L32" s="34"/>
      <c r="M32" s="34"/>
      <c r="N32" s="34"/>
      <c r="O32" s="34"/>
    </row>
    <row r="33" spans="1:15" s="22" customFormat="1" ht="15.75" customHeight="1">
      <c r="A33"/>
      <c r="B33"/>
      <c r="C33"/>
      <c r="D33"/>
      <c r="E33"/>
      <c r="F33"/>
      <c r="G33"/>
      <c r="L33" s="34"/>
      <c r="M33" s="34"/>
      <c r="N33" s="34"/>
      <c r="O33" s="34"/>
    </row>
    <row r="34" spans="1:15" s="22" customFormat="1" ht="15.75" customHeight="1">
      <c r="A34"/>
      <c r="B34"/>
      <c r="C34"/>
      <c r="D34"/>
      <c r="E34"/>
      <c r="F34"/>
      <c r="G34"/>
      <c r="L34" s="34"/>
      <c r="M34" s="34"/>
      <c r="N34" s="34"/>
      <c r="O34" s="34"/>
    </row>
    <row r="35" spans="1:15" s="22" customFormat="1" ht="15.75" customHeight="1">
      <c r="A35"/>
      <c r="B35"/>
      <c r="C35"/>
      <c r="D35"/>
      <c r="E35"/>
      <c r="F35"/>
      <c r="G35"/>
      <c r="L35" s="34"/>
      <c r="M35" s="34"/>
      <c r="N35" s="34"/>
      <c r="O35" s="34"/>
    </row>
    <row r="36" spans="1:15" s="22" customFormat="1" ht="15.75" customHeight="1">
      <c r="A36"/>
      <c r="B36"/>
      <c r="C36"/>
      <c r="D36"/>
      <c r="E36"/>
      <c r="F36"/>
      <c r="G36"/>
      <c r="L36" s="34"/>
      <c r="M36" s="34"/>
      <c r="N36" s="34"/>
      <c r="O36" s="34"/>
    </row>
    <row r="37" spans="1:15" s="22" customFormat="1" ht="15.75" customHeight="1">
      <c r="A37" s="185"/>
      <c r="B37" s="185" t="s">
        <v>335</v>
      </c>
      <c r="C37" s="211" t="s">
        <v>336</v>
      </c>
      <c r="D37" s="211"/>
      <c r="E37" s="211" t="s">
        <v>337</v>
      </c>
      <c r="F37" s="211"/>
      <c r="G37" s="25"/>
      <c r="L37" s="34"/>
      <c r="M37" s="34"/>
      <c r="N37" s="34"/>
      <c r="O37" s="34"/>
    </row>
    <row r="38" spans="1:15" s="22" customFormat="1" ht="15.75" customHeight="1">
      <c r="A38" s="182"/>
      <c r="B38" s="182"/>
      <c r="C38" s="182"/>
      <c r="D38" s="182"/>
      <c r="E38" s="182"/>
      <c r="F38" s="182"/>
      <c r="G38" s="182"/>
      <c r="L38" s="34"/>
      <c r="M38" s="34"/>
      <c r="N38" s="34"/>
      <c r="O38" s="34"/>
    </row>
    <row r="39" spans="1:15" s="22" customFormat="1" ht="15.75" customHeight="1">
      <c r="A39" s="182"/>
      <c r="B39" s="182"/>
      <c r="C39" s="182"/>
      <c r="D39" s="182"/>
      <c r="E39" s="182"/>
      <c r="F39" s="182"/>
      <c r="G39" s="182"/>
      <c r="L39" s="34"/>
      <c r="M39" s="34"/>
      <c r="N39" s="34"/>
      <c r="O39" s="34"/>
    </row>
    <row r="40" spans="1:15" s="22" customFormat="1" ht="15.75" customHeight="1">
      <c r="A40" s="111"/>
      <c r="B40" s="112"/>
      <c r="C40" s="113"/>
      <c r="D40" s="113"/>
      <c r="E40" s="113"/>
      <c r="F40" s="114"/>
      <c r="G40" s="112"/>
      <c r="L40" s="34"/>
      <c r="M40" s="34"/>
      <c r="N40" s="34"/>
      <c r="O40" s="34"/>
    </row>
    <row r="41" spans="1:15" s="22" customFormat="1" ht="15.75" customHeight="1">
      <c r="A41" s="111"/>
      <c r="B41" s="112"/>
      <c r="C41" s="113"/>
      <c r="D41" s="113"/>
      <c r="E41" s="113"/>
      <c r="F41" s="114"/>
      <c r="G41" s="112"/>
      <c r="L41" s="34"/>
      <c r="M41" s="34"/>
      <c r="N41" s="34"/>
      <c r="O41" s="34"/>
    </row>
    <row r="42" spans="1:15" s="22" customFormat="1" ht="15.75" customHeight="1">
      <c r="A42" s="111"/>
      <c r="B42" s="112"/>
      <c r="C42" s="113"/>
      <c r="D42" s="113"/>
      <c r="E42" s="113"/>
      <c r="F42" s="114"/>
      <c r="G42" s="112"/>
      <c r="L42" s="34"/>
      <c r="M42" s="34"/>
      <c r="N42" s="34"/>
      <c r="O42" s="34"/>
    </row>
    <row r="43" spans="1:15" s="22" customFormat="1" ht="15.75" customHeight="1">
      <c r="A43" s="111"/>
      <c r="B43" s="112"/>
      <c r="C43" s="113"/>
      <c r="D43" s="113"/>
      <c r="E43" s="113"/>
      <c r="F43" s="114"/>
      <c r="G43" s="112"/>
      <c r="L43" s="34"/>
      <c r="M43" s="34"/>
      <c r="N43" s="34"/>
      <c r="O43" s="34"/>
    </row>
    <row r="44" spans="1:15" s="22" customFormat="1" ht="15.75" customHeight="1">
      <c r="A44" s="111"/>
      <c r="B44" s="112"/>
      <c r="C44" s="113"/>
      <c r="D44" s="113"/>
      <c r="E44" s="113"/>
      <c r="F44" s="114"/>
      <c r="G44" s="112"/>
      <c r="L44" s="34"/>
      <c r="M44" s="34"/>
      <c r="N44" s="34"/>
      <c r="O44" s="34"/>
    </row>
    <row r="45" spans="1:15" s="22" customFormat="1" ht="15.75" customHeight="1">
      <c r="A45" s="111"/>
      <c r="B45" s="112"/>
      <c r="C45" s="113"/>
      <c r="D45" s="113"/>
      <c r="E45" s="113"/>
      <c r="F45" s="114"/>
      <c r="G45" s="112"/>
      <c r="L45" s="34"/>
      <c r="M45" s="34"/>
      <c r="N45" s="34"/>
      <c r="O45" s="34"/>
    </row>
    <row r="46" spans="1:15" s="22" customFormat="1" ht="15.75" customHeight="1">
      <c r="A46" s="111"/>
      <c r="B46" s="112"/>
      <c r="C46" s="113"/>
      <c r="D46" s="113"/>
      <c r="E46" s="113"/>
      <c r="F46" s="114"/>
      <c r="G46" s="112"/>
      <c r="L46" s="34"/>
      <c r="M46" s="34"/>
      <c r="N46" s="34"/>
      <c r="O46" s="34"/>
    </row>
    <row r="47" spans="1:15" s="22" customFormat="1" ht="15.75" customHeight="1">
      <c r="A47" s="111"/>
      <c r="B47" s="112"/>
      <c r="C47" s="113"/>
      <c r="D47" s="113"/>
      <c r="E47" s="113"/>
      <c r="F47" s="114"/>
      <c r="G47" s="112"/>
      <c r="L47" s="34"/>
      <c r="M47" s="34"/>
      <c r="N47" s="34"/>
      <c r="O47" s="34"/>
    </row>
    <row r="48" spans="1:15" s="22" customFormat="1" ht="15.75" customHeight="1">
      <c r="A48" s="111"/>
      <c r="B48" s="112"/>
      <c r="C48" s="113"/>
      <c r="D48" s="113"/>
      <c r="E48" s="113"/>
      <c r="F48" s="114"/>
      <c r="G48" s="112"/>
      <c r="L48" s="34"/>
      <c r="M48" s="34"/>
      <c r="N48" s="34"/>
      <c r="O48" s="34"/>
    </row>
    <row r="49" spans="1:15" s="22" customFormat="1" ht="15.75" customHeight="1">
      <c r="A49" s="205" t="s">
        <v>32</v>
      </c>
      <c r="B49" s="205"/>
      <c r="C49" s="205"/>
      <c r="D49" s="205"/>
      <c r="E49" s="205"/>
      <c r="F49" s="205"/>
      <c r="G49" s="112"/>
      <c r="L49" s="34"/>
      <c r="M49" s="34"/>
      <c r="N49" s="34"/>
      <c r="O49" s="34"/>
    </row>
    <row r="50" spans="1:15" s="22" customFormat="1" ht="15.75" customHeight="1">
      <c r="A50" s="111"/>
      <c r="B50" s="112"/>
      <c r="C50" s="113"/>
      <c r="D50" s="113"/>
      <c r="E50" s="113"/>
      <c r="F50" s="114"/>
      <c r="G50" s="112"/>
      <c r="L50" s="34"/>
      <c r="M50" s="34"/>
      <c r="N50" s="34"/>
      <c r="O50" s="34"/>
    </row>
    <row r="51" spans="1:15" s="22" customFormat="1" ht="15.75" customHeight="1">
      <c r="A51" s="7" t="s">
        <v>21</v>
      </c>
      <c r="B51" s="7"/>
      <c r="C51" s="7"/>
      <c r="D51" s="3"/>
      <c r="E51"/>
      <c r="F51"/>
      <c r="G51"/>
      <c r="L51" s="34"/>
      <c r="M51" s="34"/>
      <c r="N51" s="34"/>
      <c r="O51" s="34"/>
    </row>
    <row r="52" spans="1:15" s="22" customFormat="1" ht="15.75" customHeight="1">
      <c r="A52" s="7" t="s">
        <v>12</v>
      </c>
      <c r="B52" s="7"/>
      <c r="C52" s="7"/>
      <c r="D52" s="3"/>
      <c r="E52"/>
      <c r="F52"/>
      <c r="G52"/>
      <c r="L52" s="34"/>
      <c r="M52" s="34"/>
      <c r="N52" s="34"/>
      <c r="O52" s="34"/>
    </row>
    <row r="53" spans="1:15" s="22" customFormat="1" ht="15.75" customHeight="1">
      <c r="A53" s="3"/>
      <c r="B53"/>
      <c r="C53"/>
      <c r="D53"/>
      <c r="E53"/>
      <c r="F53"/>
      <c r="G53"/>
      <c r="L53" s="34"/>
      <c r="M53" s="34"/>
      <c r="N53" s="34"/>
      <c r="O53" s="34"/>
    </row>
    <row r="54" spans="1:15" s="22" customFormat="1" ht="27.75" customHeight="1">
      <c r="A54" s="204" t="s">
        <v>14</v>
      </c>
      <c r="B54" s="204"/>
      <c r="C54" s="204"/>
      <c r="D54" s="204"/>
      <c r="E54" s="204"/>
      <c r="F54" s="204"/>
      <c r="G54" s="204"/>
      <c r="L54" s="34"/>
      <c r="M54" s="34"/>
      <c r="N54" s="34"/>
      <c r="O54" s="34"/>
    </row>
    <row r="55" spans="1:15" s="22" customFormat="1" ht="27" customHeight="1">
      <c r="A55" s="204" t="s">
        <v>353</v>
      </c>
      <c r="B55" s="204"/>
      <c r="C55" s="204"/>
      <c r="D55" s="204"/>
      <c r="E55" s="204"/>
      <c r="F55" s="204"/>
      <c r="G55"/>
      <c r="L55" s="34"/>
      <c r="M55" s="34"/>
      <c r="N55" s="34"/>
      <c r="O55" s="34"/>
    </row>
    <row r="56" spans="1:15" s="22" customFormat="1" ht="15.75" customHeight="1">
      <c r="A56" s="3"/>
      <c r="B56" s="7"/>
      <c r="C56" s="7"/>
      <c r="D56" s="18" t="s">
        <v>15</v>
      </c>
      <c r="E56" s="18"/>
      <c r="F56"/>
      <c r="G56"/>
      <c r="L56" s="34"/>
      <c r="M56" s="34"/>
      <c r="N56" s="34"/>
      <c r="O56" s="34"/>
    </row>
    <row r="57" spans="1:15" s="22" customFormat="1" ht="15.75" customHeight="1">
      <c r="A57" s="157"/>
      <c r="B57" s="229"/>
      <c r="C57" s="229"/>
      <c r="D57" s="229"/>
      <c r="E57" s="229"/>
      <c r="F57" s="158"/>
      <c r="G57" s="159"/>
      <c r="L57" s="34"/>
      <c r="M57" s="34"/>
      <c r="N57" s="34"/>
      <c r="O57" s="34"/>
    </row>
    <row r="58" spans="1:15" s="22" customFormat="1" ht="15.75" customHeight="1">
      <c r="A58" s="157"/>
      <c r="B58" s="157"/>
      <c r="C58" s="157"/>
      <c r="D58" s="157"/>
      <c r="E58" s="157"/>
      <c r="F58" s="157"/>
      <c r="G58" s="157"/>
      <c r="L58" s="34"/>
      <c r="M58" s="34"/>
      <c r="N58" s="34"/>
      <c r="O58" s="34"/>
    </row>
    <row r="59" spans="1:15" s="22" customFormat="1" ht="15.75" customHeight="1">
      <c r="A59" s="230" t="s">
        <v>338</v>
      </c>
      <c r="B59" s="186"/>
      <c r="C59" s="233" t="s">
        <v>308</v>
      </c>
      <c r="D59" s="234"/>
      <c r="E59" s="234"/>
      <c r="F59" s="235"/>
      <c r="G59" s="236" t="s">
        <v>309</v>
      </c>
      <c r="L59" s="34"/>
      <c r="M59" s="34"/>
      <c r="N59" s="34"/>
      <c r="O59" s="34"/>
    </row>
    <row r="60" spans="1:15" s="22" customFormat="1" ht="15.75" customHeight="1">
      <c r="A60" s="231"/>
      <c r="B60" s="187" t="s">
        <v>310</v>
      </c>
      <c r="C60" s="230" t="s">
        <v>339</v>
      </c>
      <c r="D60" s="230" t="s">
        <v>312</v>
      </c>
      <c r="E60" s="236" t="s">
        <v>27</v>
      </c>
      <c r="F60" s="236" t="s">
        <v>313</v>
      </c>
      <c r="G60" s="231"/>
      <c r="L60" s="34"/>
      <c r="M60" s="34"/>
      <c r="N60" s="34"/>
      <c r="O60" s="34"/>
    </row>
    <row r="61" spans="1:15" s="22" customFormat="1" ht="15.75" customHeight="1">
      <c r="A61" s="232"/>
      <c r="B61" s="188"/>
      <c r="C61" s="232"/>
      <c r="D61" s="237"/>
      <c r="E61" s="232"/>
      <c r="F61" s="232"/>
      <c r="G61" s="232"/>
      <c r="L61" s="34"/>
      <c r="M61" s="34"/>
      <c r="N61" s="34"/>
      <c r="O61" s="34"/>
    </row>
    <row r="62" spans="1:15" s="22" customFormat="1" ht="15.75" customHeight="1">
      <c r="A62" s="189" t="s">
        <v>315</v>
      </c>
      <c r="B62" s="110" t="s">
        <v>340</v>
      </c>
      <c r="C62" s="110">
        <v>1</v>
      </c>
      <c r="D62" s="110">
        <v>2</v>
      </c>
      <c r="E62" s="190">
        <v>3</v>
      </c>
      <c r="F62" s="110">
        <v>4</v>
      </c>
      <c r="G62" s="190" t="s">
        <v>341</v>
      </c>
      <c r="L62" s="34"/>
      <c r="M62" s="34"/>
      <c r="N62" s="34"/>
      <c r="O62" s="34"/>
    </row>
    <row r="63" spans="1:15" s="22" customFormat="1" ht="15.75" customHeight="1" thickBot="1">
      <c r="A63" s="171">
        <v>1</v>
      </c>
      <c r="B63" s="172" t="s">
        <v>318</v>
      </c>
      <c r="C63" s="203">
        <v>9381000</v>
      </c>
      <c r="D63" s="172"/>
      <c r="E63" s="172"/>
      <c r="F63" s="203">
        <v>9381000</v>
      </c>
      <c r="G63" s="64"/>
      <c r="L63" s="34"/>
      <c r="M63" s="34"/>
      <c r="N63" s="34"/>
      <c r="O63" s="34"/>
    </row>
    <row r="64" spans="1:15" s="22" customFormat="1" ht="15.75" customHeight="1" thickBot="1">
      <c r="A64" s="171">
        <v>2</v>
      </c>
      <c r="B64" s="172" t="s">
        <v>319</v>
      </c>
      <c r="C64" s="203">
        <v>8457000</v>
      </c>
      <c r="D64" s="172"/>
      <c r="E64" s="173"/>
      <c r="F64" s="203">
        <v>8457000</v>
      </c>
      <c r="G64" s="64"/>
      <c r="L64" s="34"/>
      <c r="M64" s="34"/>
      <c r="N64" s="34"/>
      <c r="O64" s="34"/>
    </row>
    <row r="65" spans="1:15" s="22" customFormat="1" ht="15.75" customHeight="1" thickBot="1">
      <c r="A65" s="171">
        <v>3</v>
      </c>
      <c r="B65" s="172" t="s">
        <v>320</v>
      </c>
      <c r="C65" s="203">
        <v>31033322</v>
      </c>
      <c r="D65" s="174"/>
      <c r="E65" s="175"/>
      <c r="F65" s="203">
        <v>31033322</v>
      </c>
      <c r="G65" s="64"/>
      <c r="L65" s="34"/>
      <c r="M65" s="34"/>
      <c r="N65" s="34"/>
      <c r="O65" s="34"/>
    </row>
    <row r="66" spans="1:15" s="22" customFormat="1" ht="15.75" customHeight="1" thickBot="1">
      <c r="A66" s="171">
        <v>4</v>
      </c>
      <c r="B66" s="172" t="s">
        <v>321</v>
      </c>
      <c r="C66" s="173"/>
      <c r="D66" s="172"/>
      <c r="E66" s="173"/>
      <c r="F66" s="173"/>
      <c r="G66" s="64"/>
      <c r="L66" s="34"/>
      <c r="M66" s="34"/>
      <c r="N66" s="34"/>
      <c r="O66" s="34"/>
    </row>
    <row r="67" spans="1:15" s="22" customFormat="1" ht="15.75" customHeight="1" thickBot="1">
      <c r="A67" s="171">
        <v>5</v>
      </c>
      <c r="B67" s="172" t="s">
        <v>322</v>
      </c>
      <c r="C67" s="172"/>
      <c r="D67" s="172"/>
      <c r="E67" s="175"/>
      <c r="F67" s="176" t="s">
        <v>323</v>
      </c>
      <c r="G67" s="64"/>
      <c r="L67" s="34"/>
      <c r="M67" s="34"/>
      <c r="N67" s="34"/>
      <c r="O67" s="34"/>
    </row>
    <row r="68" spans="1:15" s="22" customFormat="1" ht="15.75" customHeight="1" thickBot="1">
      <c r="A68" s="171">
        <v>6</v>
      </c>
      <c r="B68" s="172" t="s">
        <v>324</v>
      </c>
      <c r="C68" s="173"/>
      <c r="D68" s="172"/>
      <c r="E68" s="173"/>
      <c r="F68" s="176" t="s">
        <v>323</v>
      </c>
      <c r="G68" s="64"/>
      <c r="L68" s="34"/>
      <c r="M68" s="34"/>
      <c r="N68" s="34"/>
      <c r="O68" s="34"/>
    </row>
    <row r="69" spans="1:15" s="22" customFormat="1" ht="15.75" customHeight="1" thickBot="1">
      <c r="A69" s="171">
        <v>7</v>
      </c>
      <c r="B69" s="172" t="s">
        <v>325</v>
      </c>
      <c r="C69" s="172"/>
      <c r="D69" s="172"/>
      <c r="E69" s="172"/>
      <c r="F69" s="176" t="s">
        <v>323</v>
      </c>
      <c r="G69" s="64"/>
      <c r="L69" s="34"/>
      <c r="M69" s="34"/>
      <c r="N69" s="34"/>
      <c r="O69" s="34"/>
    </row>
    <row r="70" spans="1:15" s="22" customFormat="1" ht="15.75" customHeight="1" thickBot="1">
      <c r="A70" s="171">
        <v>8</v>
      </c>
      <c r="B70" s="172" t="s">
        <v>326</v>
      </c>
      <c r="C70" s="172"/>
      <c r="D70" s="177"/>
      <c r="E70" s="173"/>
      <c r="F70" s="176" t="s">
        <v>323</v>
      </c>
      <c r="G70" s="191"/>
      <c r="L70" s="34"/>
      <c r="M70" s="34"/>
      <c r="N70" s="34"/>
      <c r="O70" s="34"/>
    </row>
    <row r="71" spans="1:15" s="22" customFormat="1" ht="15.75" customHeight="1" thickBot="1">
      <c r="A71" s="171">
        <v>9</v>
      </c>
      <c r="B71" s="172" t="s">
        <v>327</v>
      </c>
      <c r="C71" s="173"/>
      <c r="D71" s="177"/>
      <c r="E71" s="173"/>
      <c r="F71" s="173"/>
      <c r="G71" s="64"/>
      <c r="L71" s="34"/>
      <c r="M71" s="34"/>
      <c r="N71" s="34"/>
      <c r="O71" s="34"/>
    </row>
    <row r="72" spans="1:15" s="22" customFormat="1" ht="15.75" customHeight="1" thickBot="1">
      <c r="A72" s="171">
        <v>10</v>
      </c>
      <c r="B72" s="172" t="s">
        <v>328</v>
      </c>
      <c r="C72" s="173"/>
      <c r="D72" s="173"/>
      <c r="E72" s="177"/>
      <c r="F72" s="173"/>
      <c r="G72" s="64"/>
      <c r="L72" s="34"/>
      <c r="M72" s="34"/>
      <c r="N72" s="34"/>
      <c r="O72" s="34"/>
    </row>
    <row r="73" spans="1:15" s="22" customFormat="1" ht="15.75" customHeight="1" thickBot="1">
      <c r="A73" s="171">
        <v>11</v>
      </c>
      <c r="B73" s="172" t="s">
        <v>329</v>
      </c>
      <c r="C73" s="173"/>
      <c r="D73" s="173"/>
      <c r="E73" s="173"/>
      <c r="F73" s="173"/>
      <c r="G73" s="64"/>
      <c r="L73" s="34"/>
      <c r="M73" s="34"/>
      <c r="N73" s="34"/>
      <c r="O73" s="34"/>
    </row>
    <row r="74" spans="1:15" s="22" customFormat="1" ht="15.75" customHeight="1" thickBot="1">
      <c r="A74" s="171">
        <v>12</v>
      </c>
      <c r="B74" s="172" t="s">
        <v>330</v>
      </c>
      <c r="C74" s="173">
        <v>6977000</v>
      </c>
      <c r="D74" s="178"/>
      <c r="E74" s="179"/>
      <c r="F74" s="180">
        <f>C74</f>
        <v>6977000</v>
      </c>
      <c r="G74" s="64"/>
      <c r="L74" s="34"/>
      <c r="M74" s="34"/>
      <c r="N74" s="34"/>
      <c r="O74" s="34"/>
    </row>
    <row r="75" spans="1:15" s="22" customFormat="1" ht="15.75" customHeight="1">
      <c r="A75" s="109"/>
      <c r="B75" s="110" t="s">
        <v>239</v>
      </c>
      <c r="C75" s="100">
        <f>SUM(C63:C74)</f>
        <v>55848322</v>
      </c>
      <c r="D75" s="100">
        <f>SUM(D63:D74)</f>
        <v>0</v>
      </c>
      <c r="E75" s="100">
        <f>SUM(E63:E74)</f>
        <v>0</v>
      </c>
      <c r="F75" s="100">
        <f>SUM(F63:F74)</f>
        <v>55848322</v>
      </c>
      <c r="G75" s="64"/>
      <c r="L75" s="34"/>
      <c r="M75" s="34"/>
      <c r="N75" s="34"/>
      <c r="O75" s="34"/>
    </row>
    <row r="76" spans="1:15" s="22" customFormat="1" ht="15.75" customHeight="1">
      <c r="A76" s="192"/>
      <c r="B76" s="193"/>
      <c r="C76" s="194"/>
      <c r="D76" s="194"/>
      <c r="E76" s="194"/>
      <c r="F76" s="195"/>
      <c r="G76" s="194"/>
      <c r="L76" s="34"/>
      <c r="M76" s="34"/>
      <c r="N76" s="34"/>
      <c r="O76" s="34"/>
    </row>
    <row r="77" spans="1:15" s="22" customFormat="1" ht="15.75" customHeight="1">
      <c r="A77" s="157"/>
      <c r="B77" s="157"/>
      <c r="C77" s="228" t="s">
        <v>356</v>
      </c>
      <c r="D77" s="228"/>
      <c r="E77" s="228"/>
      <c r="F77" s="228"/>
      <c r="G77" s="228"/>
      <c r="L77" s="34"/>
      <c r="M77" s="34"/>
      <c r="N77" s="34"/>
      <c r="O77" s="34"/>
    </row>
    <row r="78" spans="1:15" s="22" customFormat="1" ht="15.75" customHeight="1">
      <c r="A78" s="156"/>
      <c r="B78" s="184" t="s">
        <v>332</v>
      </c>
      <c r="C78" s="210" t="s">
        <v>333</v>
      </c>
      <c r="D78" s="210"/>
      <c r="E78" s="210" t="s">
        <v>334</v>
      </c>
      <c r="F78" s="210"/>
      <c r="G78" s="156"/>
      <c r="L78" s="34"/>
      <c r="M78" s="34"/>
      <c r="N78" s="34"/>
      <c r="O78" s="34"/>
    </row>
    <row r="79" spans="1:15" s="22" customFormat="1" ht="15.75" customHeight="1">
      <c r="A79" s="157"/>
      <c r="B79" s="157"/>
      <c r="C79" s="157"/>
      <c r="D79" s="157"/>
      <c r="E79" s="157"/>
      <c r="F79" s="157"/>
      <c r="G79" s="157"/>
      <c r="L79" s="34"/>
      <c r="M79" s="34"/>
      <c r="N79" s="34"/>
      <c r="O79" s="34"/>
    </row>
    <row r="80" spans="1:15" s="22" customFormat="1" ht="15.75" customHeight="1">
      <c r="A80"/>
      <c r="B80"/>
      <c r="C80"/>
      <c r="D80"/>
      <c r="E80"/>
      <c r="F80"/>
      <c r="G80"/>
      <c r="L80" s="34"/>
      <c r="M80" s="34"/>
      <c r="N80" s="34"/>
      <c r="O80" s="34"/>
    </row>
    <row r="81" spans="1:15" s="22" customFormat="1" ht="15.75" customHeight="1">
      <c r="A81"/>
      <c r="B81"/>
      <c r="C81"/>
      <c r="D81"/>
      <c r="E81"/>
      <c r="F81"/>
      <c r="G81"/>
      <c r="L81" s="34"/>
      <c r="M81" s="34"/>
      <c r="N81" s="34"/>
      <c r="O81" s="34"/>
    </row>
    <row r="82" spans="1:15" s="22" customFormat="1" ht="15.75" customHeight="1">
      <c r="A82"/>
      <c r="B82"/>
      <c r="C82"/>
      <c r="D82"/>
      <c r="E82"/>
      <c r="F82"/>
      <c r="G82"/>
      <c r="L82" s="34"/>
      <c r="M82" s="34"/>
      <c r="N82" s="34"/>
      <c r="O82" s="34"/>
    </row>
    <row r="83" spans="1:15" s="22" customFormat="1" ht="15.75" customHeight="1">
      <c r="A83"/>
      <c r="B83"/>
      <c r="C83"/>
      <c r="D83"/>
      <c r="E83"/>
      <c r="F83"/>
      <c r="G83"/>
      <c r="L83" s="34"/>
      <c r="M83" s="34"/>
      <c r="N83" s="34"/>
      <c r="O83" s="34"/>
    </row>
    <row r="84" spans="1:15" s="22" customFormat="1" ht="15.75" customHeight="1">
      <c r="A84"/>
      <c r="B84"/>
      <c r="C84"/>
      <c r="D84"/>
      <c r="E84"/>
      <c r="F84"/>
      <c r="G84"/>
      <c r="L84" s="34"/>
      <c r="M84" s="34"/>
      <c r="N84" s="34"/>
      <c r="O84" s="34"/>
    </row>
    <row r="85" spans="1:15" s="22" customFormat="1" ht="15.75" customHeight="1">
      <c r="A85" s="185"/>
      <c r="B85" s="185" t="s">
        <v>335</v>
      </c>
      <c r="C85" s="211" t="s">
        <v>336</v>
      </c>
      <c r="D85" s="211"/>
      <c r="E85" s="211" t="s">
        <v>337</v>
      </c>
      <c r="F85" s="211"/>
      <c r="G85" s="25"/>
      <c r="L85" s="34"/>
      <c r="M85" s="34"/>
      <c r="N85" s="34"/>
      <c r="O85" s="34"/>
    </row>
    <row r="86" spans="1:15" s="22" customFormat="1" ht="15.75" customHeight="1">
      <c r="A86" s="185"/>
      <c r="B86" s="185"/>
      <c r="C86" s="185"/>
      <c r="D86" s="185"/>
      <c r="E86" s="185"/>
      <c r="F86" s="185"/>
      <c r="G86" s="25"/>
      <c r="L86" s="34"/>
      <c r="M86" s="34"/>
      <c r="N86" s="34"/>
      <c r="O86" s="34"/>
    </row>
    <row r="87" spans="1:15" s="22" customFormat="1" ht="15.75" customHeight="1">
      <c r="A87" s="185"/>
      <c r="B87" s="185"/>
      <c r="C87" s="185"/>
      <c r="D87" s="185"/>
      <c r="E87" s="185"/>
      <c r="F87" s="185"/>
      <c r="G87" s="25"/>
      <c r="L87" s="34"/>
      <c r="M87" s="34"/>
      <c r="N87" s="34"/>
      <c r="O87" s="34"/>
    </row>
    <row r="88" spans="1:15" s="22" customFormat="1" ht="15.75" customHeight="1">
      <c r="A88" s="185"/>
      <c r="B88" s="185"/>
      <c r="C88" s="185"/>
      <c r="D88" s="185"/>
      <c r="E88" s="185"/>
      <c r="F88" s="185"/>
      <c r="G88" s="25"/>
      <c r="L88" s="34"/>
      <c r="M88" s="34"/>
      <c r="N88" s="34"/>
      <c r="O88" s="34"/>
    </row>
    <row r="89" spans="1:15" s="22" customFormat="1" ht="15.75" customHeight="1">
      <c r="A89" s="185"/>
      <c r="B89" s="185"/>
      <c r="C89" s="185"/>
      <c r="D89" s="185"/>
      <c r="E89" s="185"/>
      <c r="F89" s="185"/>
      <c r="G89" s="25"/>
      <c r="L89" s="34"/>
      <c r="M89" s="34"/>
      <c r="N89" s="34"/>
      <c r="O89" s="34"/>
    </row>
    <row r="90" spans="1:15" s="22" customFormat="1" ht="15.75" customHeight="1">
      <c r="A90" s="185"/>
      <c r="B90" s="185"/>
      <c r="C90" s="185"/>
      <c r="D90" s="185"/>
      <c r="E90" s="185"/>
      <c r="F90" s="185"/>
      <c r="G90" s="25"/>
      <c r="L90" s="34"/>
      <c r="M90" s="34"/>
      <c r="N90" s="34"/>
      <c r="O90" s="34"/>
    </row>
    <row r="91" spans="1:15" s="22" customFormat="1" ht="15.75" customHeight="1">
      <c r="A91" s="185"/>
      <c r="B91" s="185"/>
      <c r="C91" s="185"/>
      <c r="D91" s="185"/>
      <c r="E91" s="185"/>
      <c r="F91" s="185"/>
      <c r="G91" s="25"/>
      <c r="L91" s="34"/>
      <c r="M91" s="34"/>
      <c r="N91" s="34"/>
      <c r="O91" s="34"/>
    </row>
    <row r="92" spans="1:15" s="22" customFormat="1" ht="15.75" customHeight="1">
      <c r="A92" s="185"/>
      <c r="B92" s="185"/>
      <c r="C92" s="185"/>
      <c r="D92" s="185"/>
      <c r="E92" s="185"/>
      <c r="F92" s="185"/>
      <c r="G92" s="25"/>
      <c r="L92" s="34"/>
      <c r="M92" s="34"/>
      <c r="N92" s="34"/>
      <c r="O92" s="34"/>
    </row>
    <row r="93" spans="1:15" s="22" customFormat="1" ht="15.75" customHeight="1">
      <c r="A93" s="185"/>
      <c r="B93" s="185"/>
      <c r="C93" s="185"/>
      <c r="D93" s="185"/>
      <c r="E93" s="185"/>
      <c r="F93" s="185"/>
      <c r="G93" s="25"/>
      <c r="L93" s="34"/>
      <c r="M93" s="34"/>
      <c r="N93" s="34"/>
      <c r="O93" s="34"/>
    </row>
    <row r="94" spans="1:15" s="22" customFormat="1" ht="15.75" customHeight="1">
      <c r="A94" s="185"/>
      <c r="B94" s="185"/>
      <c r="C94" s="185"/>
      <c r="D94" s="185"/>
      <c r="E94" s="185"/>
      <c r="F94" s="185"/>
      <c r="G94" s="25"/>
      <c r="L94" s="34"/>
      <c r="M94" s="34"/>
      <c r="N94" s="34"/>
      <c r="O94" s="34"/>
    </row>
    <row r="95" spans="1:15" s="22" customFormat="1" ht="15.75" customHeight="1">
      <c r="A95" s="111"/>
      <c r="B95" s="112"/>
      <c r="C95" s="113"/>
      <c r="D95" s="113"/>
      <c r="E95" s="113"/>
      <c r="F95" s="114"/>
      <c r="G95" s="112"/>
      <c r="L95" s="34"/>
      <c r="M95" s="34"/>
      <c r="N95" s="34"/>
      <c r="O95" s="34"/>
    </row>
    <row r="96" spans="1:6" ht="12.75">
      <c r="A96" s="32" t="s">
        <v>32</v>
      </c>
      <c r="B96" s="32"/>
      <c r="C96" s="32"/>
      <c r="D96" s="32"/>
      <c r="E96" s="32"/>
      <c r="F96" s="32"/>
    </row>
    <row r="99" spans="1:4" ht="15.75">
      <c r="A99" s="7" t="s">
        <v>21</v>
      </c>
      <c r="B99" s="7"/>
      <c r="C99" s="7"/>
      <c r="D99" s="3"/>
    </row>
    <row r="100" spans="1:4" ht="15.75">
      <c r="A100" s="7" t="s">
        <v>12</v>
      </c>
      <c r="B100" s="7"/>
      <c r="C100" s="7"/>
      <c r="D100" s="3"/>
    </row>
    <row r="101" ht="12.75">
      <c r="A101" s="3"/>
    </row>
    <row r="102" spans="1:7" ht="18">
      <c r="A102" s="204" t="s">
        <v>14</v>
      </c>
      <c r="B102" s="204"/>
      <c r="C102" s="204"/>
      <c r="D102" s="204"/>
      <c r="E102" s="204"/>
      <c r="F102" s="204"/>
      <c r="G102" s="204"/>
    </row>
    <row r="103" spans="1:6" ht="18">
      <c r="A103" s="204" t="s">
        <v>354</v>
      </c>
      <c r="B103" s="204"/>
      <c r="C103" s="204"/>
      <c r="D103" s="204"/>
      <c r="E103" s="204"/>
      <c r="F103" s="204"/>
    </row>
    <row r="104" spans="1:5" ht="15.75">
      <c r="A104" s="3"/>
      <c r="B104" s="7"/>
      <c r="C104" s="7"/>
      <c r="D104" s="18" t="s">
        <v>15</v>
      </c>
      <c r="E104" s="18"/>
    </row>
    <row r="105" spans="1:7" ht="15.75">
      <c r="A105" s="157"/>
      <c r="B105" s="157"/>
      <c r="C105" s="157"/>
      <c r="D105" s="157"/>
      <c r="E105" s="157"/>
      <c r="F105" s="157"/>
      <c r="G105" s="157"/>
    </row>
    <row r="106" spans="1:7" ht="15.75">
      <c r="A106" s="230" t="s">
        <v>338</v>
      </c>
      <c r="B106" s="186"/>
      <c r="C106" s="233" t="s">
        <v>308</v>
      </c>
      <c r="D106" s="234"/>
      <c r="E106" s="234"/>
      <c r="F106" s="235"/>
      <c r="G106" s="236" t="s">
        <v>309</v>
      </c>
    </row>
    <row r="107" spans="1:7" ht="15.75">
      <c r="A107" s="231"/>
      <c r="B107" s="187" t="s">
        <v>310</v>
      </c>
      <c r="C107" s="230" t="s">
        <v>339</v>
      </c>
      <c r="D107" s="230" t="s">
        <v>312</v>
      </c>
      <c r="E107" s="236" t="s">
        <v>27</v>
      </c>
      <c r="F107" s="236" t="s">
        <v>313</v>
      </c>
      <c r="G107" s="231"/>
    </row>
    <row r="108" spans="1:7" ht="15.75">
      <c r="A108" s="232"/>
      <c r="B108" s="188"/>
      <c r="C108" s="232"/>
      <c r="D108" s="237"/>
      <c r="E108" s="232"/>
      <c r="F108" s="232"/>
      <c r="G108" s="232"/>
    </row>
    <row r="109" spans="1:7" ht="15.75">
      <c r="A109" s="189" t="s">
        <v>315</v>
      </c>
      <c r="B109" s="110" t="s">
        <v>340</v>
      </c>
      <c r="C109" s="110">
        <v>1</v>
      </c>
      <c r="D109" s="110">
        <v>2</v>
      </c>
      <c r="E109" s="190">
        <v>3</v>
      </c>
      <c r="F109" s="110">
        <v>4</v>
      </c>
      <c r="G109" s="190" t="s">
        <v>341</v>
      </c>
    </row>
    <row r="110" spans="1:7" ht="15.75" thickBot="1">
      <c r="A110" s="171">
        <v>1</v>
      </c>
      <c r="B110" s="172" t="s">
        <v>318</v>
      </c>
      <c r="C110" s="203">
        <v>9381000</v>
      </c>
      <c r="D110" s="172"/>
      <c r="E110" s="172"/>
      <c r="F110" s="203">
        <v>9381000</v>
      </c>
      <c r="G110" s="64"/>
    </row>
    <row r="111" spans="1:7" ht="15.75" thickBot="1">
      <c r="A111" s="171">
        <v>2</v>
      </c>
      <c r="B111" s="172" t="s">
        <v>319</v>
      </c>
      <c r="C111" s="203">
        <v>8457000</v>
      </c>
      <c r="D111" s="172"/>
      <c r="E111" s="173"/>
      <c r="F111" s="203">
        <v>8457000</v>
      </c>
      <c r="G111" s="64"/>
    </row>
    <row r="112" spans="1:7" ht="15.75" thickBot="1">
      <c r="A112" s="171">
        <v>3</v>
      </c>
      <c r="B112" s="172" t="s">
        <v>320</v>
      </c>
      <c r="C112" s="203">
        <v>31033322</v>
      </c>
      <c r="D112" s="174"/>
      <c r="E112" s="175"/>
      <c r="F112" s="203">
        <v>31033322</v>
      </c>
      <c r="G112" s="64"/>
    </row>
    <row r="113" spans="1:7" ht="15.75" thickBot="1">
      <c r="A113" s="171">
        <v>4</v>
      </c>
      <c r="B113" s="172" t="s">
        <v>321</v>
      </c>
      <c r="C113" s="173"/>
      <c r="D113" s="172"/>
      <c r="E113" s="173"/>
      <c r="F113" s="173"/>
      <c r="G113" s="64"/>
    </row>
    <row r="114" spans="1:7" ht="15.75" thickBot="1">
      <c r="A114" s="171">
        <v>5</v>
      </c>
      <c r="B114" s="172" t="s">
        <v>322</v>
      </c>
      <c r="C114" s="172"/>
      <c r="D114" s="172"/>
      <c r="E114" s="175"/>
      <c r="F114" s="176" t="s">
        <v>323</v>
      </c>
      <c r="G114" s="64"/>
    </row>
    <row r="115" spans="1:7" ht="15.75" thickBot="1">
      <c r="A115" s="171">
        <v>6</v>
      </c>
      <c r="B115" s="172" t="s">
        <v>324</v>
      </c>
      <c r="C115" s="173"/>
      <c r="D115" s="172"/>
      <c r="E115" s="173"/>
      <c r="F115" s="176" t="s">
        <v>323</v>
      </c>
      <c r="G115" s="64"/>
    </row>
    <row r="116" spans="1:7" ht="15.75" thickBot="1">
      <c r="A116" s="171">
        <v>7</v>
      </c>
      <c r="B116" s="172" t="s">
        <v>325</v>
      </c>
      <c r="C116" s="172"/>
      <c r="D116" s="172"/>
      <c r="E116" s="172"/>
      <c r="F116" s="176" t="s">
        <v>323</v>
      </c>
      <c r="G116" s="64"/>
    </row>
    <row r="117" spans="1:7" ht="15.75" thickBot="1">
      <c r="A117" s="171">
        <v>8</v>
      </c>
      <c r="B117" s="172" t="s">
        <v>326</v>
      </c>
      <c r="C117" s="172"/>
      <c r="D117" s="177"/>
      <c r="E117" s="173"/>
      <c r="F117" s="176" t="s">
        <v>323</v>
      </c>
      <c r="G117" s="191"/>
    </row>
    <row r="118" spans="1:7" ht="15.75" thickBot="1">
      <c r="A118" s="171">
        <v>9</v>
      </c>
      <c r="B118" s="172" t="s">
        <v>327</v>
      </c>
      <c r="C118" s="173"/>
      <c r="D118" s="177"/>
      <c r="E118" s="173"/>
      <c r="F118" s="173"/>
      <c r="G118" s="64"/>
    </row>
    <row r="119" spans="1:7" ht="15.75" thickBot="1">
      <c r="A119" s="171">
        <v>10</v>
      </c>
      <c r="B119" s="172" t="s">
        <v>328</v>
      </c>
      <c r="C119" s="173"/>
      <c r="D119" s="173"/>
      <c r="E119" s="177"/>
      <c r="F119" s="173"/>
      <c r="G119" s="64"/>
    </row>
    <row r="120" spans="1:7" ht="15.75" thickBot="1">
      <c r="A120" s="171">
        <v>11</v>
      </c>
      <c r="B120" s="172" t="s">
        <v>329</v>
      </c>
      <c r="C120" s="173"/>
      <c r="D120" s="173"/>
      <c r="E120" s="173"/>
      <c r="F120" s="173"/>
      <c r="G120" s="64"/>
    </row>
    <row r="121" spans="1:7" ht="15.75" thickBot="1">
      <c r="A121" s="171">
        <v>12</v>
      </c>
      <c r="B121" s="172" t="s">
        <v>330</v>
      </c>
      <c r="C121" s="173">
        <v>6977000</v>
      </c>
      <c r="D121" s="178"/>
      <c r="E121" s="179"/>
      <c r="F121" s="261">
        <f>C121</f>
        <v>6977000</v>
      </c>
      <c r="G121" s="64"/>
    </row>
    <row r="122" spans="1:7" ht="15.75">
      <c r="A122" s="109"/>
      <c r="B122" s="110" t="s">
        <v>239</v>
      </c>
      <c r="C122" s="100">
        <f>SUM(C110:C121)</f>
        <v>55848322</v>
      </c>
      <c r="D122" s="100">
        <f>SUM(D110:D121)</f>
        <v>0</v>
      </c>
      <c r="E122" s="100">
        <f>SUM(E110:E121)</f>
        <v>0</v>
      </c>
      <c r="F122" s="100">
        <f>SUM(F110:F121)</f>
        <v>55848322</v>
      </c>
      <c r="G122" s="64"/>
    </row>
    <row r="123" spans="1:7" ht="15.75">
      <c r="A123" s="192"/>
      <c r="B123" s="193"/>
      <c r="C123" s="194"/>
      <c r="D123" s="194"/>
      <c r="E123" s="194"/>
      <c r="F123" s="195"/>
      <c r="G123" s="194"/>
    </row>
    <row r="124" spans="1:7" ht="15.75">
      <c r="A124" s="157"/>
      <c r="B124" s="157"/>
      <c r="C124" s="228" t="s">
        <v>357</v>
      </c>
      <c r="D124" s="228"/>
      <c r="E124" s="228"/>
      <c r="F124" s="228"/>
      <c r="G124" s="228"/>
    </row>
    <row r="125" spans="1:7" ht="18.75">
      <c r="A125" s="156"/>
      <c r="B125" s="184" t="s">
        <v>332</v>
      </c>
      <c r="C125" s="210" t="s">
        <v>333</v>
      </c>
      <c r="D125" s="210"/>
      <c r="E125" s="210" t="s">
        <v>334</v>
      </c>
      <c r="F125" s="210"/>
      <c r="G125" s="156"/>
    </row>
    <row r="126" spans="1:7" ht="15.75">
      <c r="A126" s="157"/>
      <c r="B126" s="157"/>
      <c r="C126" s="157"/>
      <c r="D126" s="157"/>
      <c r="E126" s="157"/>
      <c r="F126" s="157"/>
      <c r="G126" s="157"/>
    </row>
    <row r="132" spans="1:7" ht="15">
      <c r="A132" s="185"/>
      <c r="B132" s="185" t="s">
        <v>335</v>
      </c>
      <c r="C132" s="211" t="s">
        <v>336</v>
      </c>
      <c r="D132" s="211"/>
      <c r="E132" s="211" t="s">
        <v>337</v>
      </c>
      <c r="F132" s="211"/>
      <c r="G132" s="25"/>
    </row>
    <row r="219" ht="16.5" customHeight="1"/>
    <row r="229" spans="2:7" ht="12.75">
      <c r="B229" s="205" t="s">
        <v>32</v>
      </c>
      <c r="C229" s="205"/>
      <c r="D229" s="205"/>
      <c r="E229" s="205"/>
      <c r="F229" s="205"/>
      <c r="G229" s="205"/>
    </row>
    <row r="230" ht="12.75">
      <c r="B230" s="3"/>
    </row>
    <row r="231" spans="1:4" ht="15.75">
      <c r="A231" s="7" t="s">
        <v>21</v>
      </c>
      <c r="B231" s="7"/>
      <c r="C231" s="7"/>
      <c r="D231" s="3"/>
    </row>
    <row r="232" spans="1:4" ht="15.75">
      <c r="A232" s="7" t="s">
        <v>12</v>
      </c>
      <c r="B232" s="7"/>
      <c r="C232" s="7"/>
      <c r="D232" s="3"/>
    </row>
    <row r="233" ht="12.75">
      <c r="A233" s="3"/>
    </row>
    <row r="234" spans="1:7" ht="18">
      <c r="A234" s="204" t="s">
        <v>14</v>
      </c>
      <c r="B234" s="204"/>
      <c r="C234" s="204"/>
      <c r="D234" s="204"/>
      <c r="E234" s="204"/>
      <c r="F234" s="204"/>
      <c r="G234" s="204"/>
    </row>
    <row r="235" spans="1:6" ht="18">
      <c r="A235" s="204" t="s">
        <v>232</v>
      </c>
      <c r="B235" s="204"/>
      <c r="C235" s="204"/>
      <c r="D235" s="204"/>
      <c r="E235" s="204"/>
      <c r="F235" s="204"/>
    </row>
    <row r="236" spans="1:5" ht="15.75">
      <c r="A236" s="3"/>
      <c r="B236" s="7"/>
      <c r="C236" s="7"/>
      <c r="D236" s="18" t="s">
        <v>15</v>
      </c>
      <c r="E236" s="18"/>
    </row>
    <row r="237" spans="1:7" ht="12.75">
      <c r="A237" s="212" t="s">
        <v>0</v>
      </c>
      <c r="B237" s="214" t="s">
        <v>8</v>
      </c>
      <c r="C237" s="208" t="s">
        <v>26</v>
      </c>
      <c r="D237" s="208" t="s">
        <v>25</v>
      </c>
      <c r="E237" s="206" t="s">
        <v>27</v>
      </c>
      <c r="F237" s="206" t="s">
        <v>28</v>
      </c>
      <c r="G237" s="207" t="s">
        <v>29</v>
      </c>
    </row>
    <row r="238" spans="1:7" ht="12.75">
      <c r="A238" s="213"/>
      <c r="B238" s="215"/>
      <c r="C238" s="209"/>
      <c r="D238" s="209"/>
      <c r="E238" s="206"/>
      <c r="F238" s="206"/>
      <c r="G238" s="207"/>
    </row>
    <row r="239" spans="1:7" ht="15.75">
      <c r="A239" s="24"/>
      <c r="B239" s="2"/>
      <c r="C239" s="33"/>
      <c r="D239" s="33"/>
      <c r="E239" s="21"/>
      <c r="F239" s="21"/>
      <c r="G239" s="21"/>
    </row>
    <row r="240" spans="1:7" ht="21.75" customHeight="1">
      <c r="A240" s="102">
        <v>1</v>
      </c>
      <c r="B240" s="100" t="s">
        <v>226</v>
      </c>
      <c r="C240" s="103">
        <v>9381000</v>
      </c>
      <c r="D240" s="103"/>
      <c r="E240" s="103"/>
      <c r="F240" s="103">
        <f>C240+D240-E240</f>
        <v>9381000</v>
      </c>
      <c r="G240" s="21"/>
    </row>
    <row r="241" spans="1:7" ht="21.75" customHeight="1">
      <c r="A241" s="102">
        <v>2</v>
      </c>
      <c r="B241" s="100" t="s">
        <v>7</v>
      </c>
      <c r="C241" s="103">
        <v>29297000</v>
      </c>
      <c r="D241" s="104"/>
      <c r="E241" s="104">
        <f>17040000+200000</f>
        <v>17240000</v>
      </c>
      <c r="F241" s="103">
        <f aca="true" t="shared" si="0" ref="F241:F251">C241+D241-E241</f>
        <v>12057000</v>
      </c>
      <c r="G241" s="21"/>
    </row>
    <row r="242" spans="1:7" ht="21.75" customHeight="1">
      <c r="A242" s="102">
        <v>3</v>
      </c>
      <c r="B242" s="100" t="s">
        <v>233</v>
      </c>
      <c r="C242" s="103">
        <v>12018484</v>
      </c>
      <c r="D242" s="105">
        <v>15257229</v>
      </c>
      <c r="E242" s="105"/>
      <c r="F242" s="103">
        <f t="shared" si="0"/>
        <v>27275713</v>
      </c>
      <c r="G242" s="21"/>
    </row>
    <row r="243" spans="1:7" ht="21.75" customHeight="1">
      <c r="A243" s="102">
        <v>4</v>
      </c>
      <c r="B243" s="100" t="s">
        <v>200</v>
      </c>
      <c r="C243" s="103">
        <v>932082345</v>
      </c>
      <c r="D243" s="103"/>
      <c r="E243" s="103"/>
      <c r="F243" s="103">
        <f t="shared" si="0"/>
        <v>932082345</v>
      </c>
      <c r="G243" s="21"/>
    </row>
    <row r="244" spans="1:7" ht="21.75" customHeight="1">
      <c r="A244" s="102">
        <v>5</v>
      </c>
      <c r="B244" s="100" t="s">
        <v>227</v>
      </c>
      <c r="C244" s="103">
        <v>299340000</v>
      </c>
      <c r="D244" s="103">
        <v>61878000</v>
      </c>
      <c r="E244" s="106">
        <v>361218000</v>
      </c>
      <c r="F244" s="103">
        <f t="shared" si="0"/>
        <v>0</v>
      </c>
      <c r="G244" s="21"/>
    </row>
    <row r="245" spans="1:7" ht="21.75" customHeight="1">
      <c r="A245" s="102">
        <v>6</v>
      </c>
      <c r="B245" s="100" t="s">
        <v>228</v>
      </c>
      <c r="C245" s="103">
        <v>27296000</v>
      </c>
      <c r="D245" s="103"/>
      <c r="E245" s="103"/>
      <c r="F245" s="103">
        <f t="shared" si="0"/>
        <v>27296000</v>
      </c>
      <c r="G245" s="21"/>
    </row>
    <row r="246" spans="1:7" ht="21.75" customHeight="1">
      <c r="A246" s="102">
        <v>7</v>
      </c>
      <c r="B246" s="100" t="s">
        <v>229</v>
      </c>
      <c r="C246" s="103">
        <v>112596000</v>
      </c>
      <c r="D246" s="103"/>
      <c r="E246" s="103">
        <v>71652000</v>
      </c>
      <c r="F246" s="103">
        <f t="shared" si="0"/>
        <v>40944000</v>
      </c>
      <c r="G246" s="21"/>
    </row>
    <row r="247" spans="1:7" ht="21.75" customHeight="1">
      <c r="A247" s="102">
        <v>8</v>
      </c>
      <c r="B247" s="107" t="s">
        <v>234</v>
      </c>
      <c r="C247" s="103"/>
      <c r="D247" s="103">
        <v>1018723000</v>
      </c>
      <c r="E247" s="103">
        <v>1018723000</v>
      </c>
      <c r="F247" s="103">
        <f t="shared" si="0"/>
        <v>0</v>
      </c>
      <c r="G247" s="21"/>
    </row>
    <row r="248" spans="1:7" ht="21.75" customHeight="1">
      <c r="A248" s="102">
        <v>9</v>
      </c>
      <c r="B248" s="100" t="s">
        <v>235</v>
      </c>
      <c r="C248" s="103">
        <v>55000</v>
      </c>
      <c r="D248" s="106">
        <v>118860000</v>
      </c>
      <c r="E248" s="103">
        <v>118900000</v>
      </c>
      <c r="F248" s="103">
        <f t="shared" si="0"/>
        <v>15000</v>
      </c>
      <c r="G248" s="21"/>
    </row>
    <row r="249" spans="1:7" ht="21.75" customHeight="1">
      <c r="A249" s="102">
        <v>10</v>
      </c>
      <c r="B249" s="100" t="s">
        <v>236</v>
      </c>
      <c r="C249" s="103">
        <v>53064000</v>
      </c>
      <c r="D249" s="103">
        <v>167800000</v>
      </c>
      <c r="E249" s="106">
        <v>207626000</v>
      </c>
      <c r="F249" s="103">
        <f t="shared" si="0"/>
        <v>13238000</v>
      </c>
      <c r="G249" s="21"/>
    </row>
    <row r="250" spans="1:7" ht="21.75" customHeight="1">
      <c r="A250" s="102">
        <v>11</v>
      </c>
      <c r="B250" s="100" t="s">
        <v>237</v>
      </c>
      <c r="C250" s="103">
        <v>50000</v>
      </c>
      <c r="D250" s="103">
        <v>17030000</v>
      </c>
      <c r="E250" s="103">
        <v>17000000</v>
      </c>
      <c r="F250" s="103">
        <f t="shared" si="0"/>
        <v>80000</v>
      </c>
      <c r="G250" s="21"/>
    </row>
    <row r="251" spans="1:7" ht="21.75" customHeight="1">
      <c r="A251" s="102">
        <v>12</v>
      </c>
      <c r="B251" s="100" t="s">
        <v>238</v>
      </c>
      <c r="C251" s="103">
        <v>147440000</v>
      </c>
      <c r="D251" s="103"/>
      <c r="E251" s="108">
        <v>48561000</v>
      </c>
      <c r="F251" s="103">
        <f t="shared" si="0"/>
        <v>98879000</v>
      </c>
      <c r="G251" s="21"/>
    </row>
    <row r="252" spans="1:7" ht="21.75" customHeight="1">
      <c r="A252" s="109"/>
      <c r="B252" s="110" t="s">
        <v>239</v>
      </c>
      <c r="C252" s="103">
        <f>SUM(C240:C251)</f>
        <v>1622619829</v>
      </c>
      <c r="D252" s="103">
        <f>SUM(D240:D251)</f>
        <v>1399548229</v>
      </c>
      <c r="E252" s="103">
        <f>SUM(E240:E251)</f>
        <v>1860920000</v>
      </c>
      <c r="F252" s="103">
        <f>SUM(F240:F251)</f>
        <v>1161248058</v>
      </c>
      <c r="G252" s="21"/>
    </row>
    <row r="253" spans="2:7" ht="15">
      <c r="B253" s="25"/>
      <c r="D253" s="216" t="s">
        <v>230</v>
      </c>
      <c r="E253" s="216"/>
      <c r="F253" s="216"/>
      <c r="G253" s="216"/>
    </row>
    <row r="254" spans="2:6" ht="12.75">
      <c r="B254" s="31" t="s">
        <v>30</v>
      </c>
      <c r="E254" s="205" t="s">
        <v>5</v>
      </c>
      <c r="F254" s="205"/>
    </row>
    <row r="255" ht="15.75">
      <c r="B255" s="7"/>
    </row>
    <row r="256" ht="15">
      <c r="B256" s="25"/>
    </row>
    <row r="257" ht="15">
      <c r="B257" s="25"/>
    </row>
    <row r="258" ht="15">
      <c r="B258" s="25"/>
    </row>
    <row r="259" ht="15">
      <c r="B259" s="25"/>
    </row>
    <row r="260" ht="15">
      <c r="B260" s="25"/>
    </row>
    <row r="261" spans="2:6" ht="15.75">
      <c r="B261" s="99" t="s">
        <v>225</v>
      </c>
      <c r="E261" s="217" t="s">
        <v>23</v>
      </c>
      <c r="F261" s="217"/>
    </row>
    <row r="262" ht="15">
      <c r="B262" s="25"/>
    </row>
    <row r="263" ht="15">
      <c r="B263" s="25"/>
    </row>
    <row r="264" ht="15">
      <c r="B264" s="25"/>
    </row>
  </sheetData>
  <sheetProtection/>
  <mergeCells count="56">
    <mergeCell ref="A49:F49"/>
    <mergeCell ref="A7:G7"/>
    <mergeCell ref="A8:F8"/>
    <mergeCell ref="A2:G2"/>
    <mergeCell ref="A54:G54"/>
    <mergeCell ref="F107:F108"/>
    <mergeCell ref="E107:E108"/>
    <mergeCell ref="C77:G77"/>
    <mergeCell ref="C78:D78"/>
    <mergeCell ref="E78:F78"/>
    <mergeCell ref="C124:G124"/>
    <mergeCell ref="C125:D125"/>
    <mergeCell ref="E125:F125"/>
    <mergeCell ref="C132:D132"/>
    <mergeCell ref="E132:F132"/>
    <mergeCell ref="A106:A108"/>
    <mergeCell ref="C106:F106"/>
    <mergeCell ref="G106:G108"/>
    <mergeCell ref="C107:C108"/>
    <mergeCell ref="D107:D108"/>
    <mergeCell ref="C85:D85"/>
    <mergeCell ref="E85:F85"/>
    <mergeCell ref="B57:E57"/>
    <mergeCell ref="A59:A61"/>
    <mergeCell ref="C59:F59"/>
    <mergeCell ref="G59:G61"/>
    <mergeCell ref="C60:C61"/>
    <mergeCell ref="D60:D61"/>
    <mergeCell ref="E60:E61"/>
    <mergeCell ref="F60:F61"/>
    <mergeCell ref="C10:F10"/>
    <mergeCell ref="G10:G12"/>
    <mergeCell ref="D11:D12"/>
    <mergeCell ref="E11:E12"/>
    <mergeCell ref="F11:F12"/>
    <mergeCell ref="C29:G29"/>
    <mergeCell ref="D253:G253"/>
    <mergeCell ref="E254:F254"/>
    <mergeCell ref="E261:F261"/>
    <mergeCell ref="B229:G229"/>
    <mergeCell ref="A234:G234"/>
    <mergeCell ref="A235:F235"/>
    <mergeCell ref="A237:A238"/>
    <mergeCell ref="B237:B238"/>
    <mergeCell ref="C237:C238"/>
    <mergeCell ref="D237:D238"/>
    <mergeCell ref="E237:E238"/>
    <mergeCell ref="F237:F238"/>
    <mergeCell ref="G237:G238"/>
    <mergeCell ref="A55:F55"/>
    <mergeCell ref="A102:G102"/>
    <mergeCell ref="A103:F103"/>
    <mergeCell ref="C30:D30"/>
    <mergeCell ref="E30:F30"/>
    <mergeCell ref="C37:D37"/>
    <mergeCell ref="E37:F37"/>
  </mergeCells>
  <printOptions horizontalCentered="1"/>
  <pageMargins left="0" right="0"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1:L177"/>
  <sheetViews>
    <sheetView zoomScalePageLayoutView="0" workbookViewId="0" topLeftCell="A16">
      <selection activeCell="F26" sqref="F26"/>
    </sheetView>
  </sheetViews>
  <sheetFormatPr defaultColWidth="9.140625" defaultRowHeight="12.75"/>
  <cols>
    <col min="1" max="1" width="5.8515625" style="22" customWidth="1"/>
    <col min="2" max="2" width="39.00390625" style="0" customWidth="1"/>
    <col min="3" max="3" width="16.140625" style="0" customWidth="1"/>
    <col min="4" max="4" width="15.7109375" style="0" customWidth="1"/>
    <col min="5" max="5" width="14.57421875" style="0" customWidth="1"/>
    <col min="6" max="6" width="13.57421875" style="0" customWidth="1"/>
    <col min="7" max="7" width="22.421875" style="0" customWidth="1"/>
    <col min="8" max="8" width="27.57421875" style="0" customWidth="1"/>
    <col min="9" max="9" width="15.7109375" style="0" customWidth="1"/>
    <col min="10" max="10" width="40.28125" style="27" customWidth="1"/>
    <col min="11" max="11" width="21.421875" style="0" customWidth="1"/>
  </cols>
  <sheetData>
    <row r="1" spans="2:6" ht="12.75">
      <c r="B1" s="3" t="s">
        <v>35</v>
      </c>
      <c r="C1" s="22"/>
      <c r="D1" s="22"/>
      <c r="E1" s="22"/>
      <c r="F1" s="22"/>
    </row>
    <row r="2" spans="2:6" ht="12.75">
      <c r="B2" s="3"/>
      <c r="C2" s="22"/>
      <c r="D2" s="22"/>
      <c r="E2" s="22"/>
      <c r="F2" s="22"/>
    </row>
    <row r="3" spans="1:6" ht="15.75">
      <c r="A3" s="7" t="s">
        <v>40</v>
      </c>
      <c r="B3" s="7"/>
      <c r="C3" s="217" t="s">
        <v>36</v>
      </c>
      <c r="D3" s="217"/>
      <c r="E3" s="217"/>
      <c r="F3" s="217"/>
    </row>
    <row r="4" spans="1:6" ht="16.5" customHeight="1">
      <c r="A4" s="7" t="s">
        <v>12</v>
      </c>
      <c r="B4" s="7"/>
      <c r="C4" s="217" t="s">
        <v>37</v>
      </c>
      <c r="D4" s="217"/>
      <c r="E4" s="217"/>
      <c r="F4" s="217"/>
    </row>
    <row r="5" spans="1:6" ht="18">
      <c r="A5" s="204"/>
      <c r="B5" s="204"/>
      <c r="C5" s="204"/>
      <c r="D5" s="204"/>
      <c r="E5" s="204"/>
      <c r="F5" s="204"/>
    </row>
    <row r="6" spans="1:6" ht="36.75" customHeight="1">
      <c r="A6" s="217" t="s">
        <v>348</v>
      </c>
      <c r="B6" s="217"/>
      <c r="C6" s="217"/>
      <c r="D6" s="217"/>
      <c r="E6" s="217"/>
      <c r="F6" s="217"/>
    </row>
    <row r="7" spans="1:6" ht="37.5" customHeight="1">
      <c r="A7" s="245" t="s">
        <v>38</v>
      </c>
      <c r="B7" s="246"/>
      <c r="C7" s="246"/>
      <c r="D7" s="246"/>
      <c r="E7" s="246"/>
      <c r="F7" s="246"/>
    </row>
    <row r="8" spans="1:6" ht="72.75" customHeight="1">
      <c r="A8" s="245" t="s">
        <v>39</v>
      </c>
      <c r="B8" s="246"/>
      <c r="C8" s="246"/>
      <c r="D8" s="246"/>
      <c r="E8" s="246"/>
      <c r="F8" s="246"/>
    </row>
    <row r="9" spans="1:6" ht="42" customHeight="1">
      <c r="A9" s="245" t="s">
        <v>349</v>
      </c>
      <c r="B9" s="246"/>
      <c r="C9" s="246"/>
      <c r="D9" s="246"/>
      <c r="E9" s="246"/>
      <c r="F9" s="246"/>
    </row>
    <row r="10" spans="1:5" ht="16.5" customHeight="1">
      <c r="A10" s="3"/>
      <c r="B10" s="7"/>
      <c r="C10" s="7"/>
      <c r="D10" s="18" t="s">
        <v>15</v>
      </c>
      <c r="E10" s="18"/>
    </row>
    <row r="11" spans="1:6" ht="33" customHeight="1">
      <c r="A11" s="212" t="s">
        <v>0</v>
      </c>
      <c r="B11" s="214" t="s">
        <v>8</v>
      </c>
      <c r="C11" s="247" t="s">
        <v>11</v>
      </c>
      <c r="D11" s="247" t="s">
        <v>22</v>
      </c>
      <c r="E11" s="247" t="s">
        <v>41</v>
      </c>
      <c r="F11" s="247" t="s">
        <v>45</v>
      </c>
    </row>
    <row r="12" spans="1:8" ht="49.5" customHeight="1">
      <c r="A12" s="213"/>
      <c r="B12" s="215"/>
      <c r="C12" s="248"/>
      <c r="D12" s="248"/>
      <c r="E12" s="248"/>
      <c r="F12" s="248"/>
      <c r="H12" s="43" t="e">
        <f>C15+C18+C21+C30-K14</f>
        <v>#REF!</v>
      </c>
    </row>
    <row r="13" spans="1:12" ht="21" customHeight="1">
      <c r="A13" s="13" t="s">
        <v>3</v>
      </c>
      <c r="B13" s="5" t="s">
        <v>4</v>
      </c>
      <c r="C13" s="4"/>
      <c r="D13" s="1"/>
      <c r="E13" s="1"/>
      <c r="F13" s="1"/>
      <c r="G13" s="249" t="s">
        <v>74</v>
      </c>
      <c r="H13" s="250"/>
      <c r="I13" s="250"/>
      <c r="J13" s="250"/>
      <c r="K13" s="250"/>
      <c r="L13" s="250"/>
    </row>
    <row r="14" spans="1:12" ht="20.25" customHeight="1">
      <c r="A14" s="2">
        <v>3</v>
      </c>
      <c r="B14" s="5" t="s">
        <v>10</v>
      </c>
      <c r="C14" s="4"/>
      <c r="D14" s="1"/>
      <c r="E14" s="1"/>
      <c r="F14" s="1"/>
      <c r="G14" s="149" t="s">
        <v>75</v>
      </c>
      <c r="H14" s="44"/>
      <c r="I14" s="44" t="s">
        <v>76</v>
      </c>
      <c r="J14" s="44"/>
      <c r="K14" s="45" t="e">
        <f>K15+K20+#REF!</f>
        <v>#REF!</v>
      </c>
      <c r="L14" s="45"/>
    </row>
    <row r="15" spans="1:12" ht="18.75" customHeight="1">
      <c r="A15" s="78">
        <v>6500</v>
      </c>
      <c r="B15" s="77" t="s">
        <v>254</v>
      </c>
      <c r="C15" s="79">
        <f>SUM(C16:C16)</f>
        <v>48000000</v>
      </c>
      <c r="D15" s="79">
        <f>SUM(D16:D16)</f>
        <v>17920000</v>
      </c>
      <c r="E15" s="1"/>
      <c r="F15" s="1"/>
      <c r="G15" s="119">
        <v>6000</v>
      </c>
      <c r="H15" s="251" t="s">
        <v>51</v>
      </c>
      <c r="I15" s="251"/>
      <c r="J15" s="46"/>
      <c r="K15" s="47">
        <f>SUM(K16:K19)</f>
        <v>2805347600</v>
      </c>
      <c r="L15" s="48"/>
    </row>
    <row r="16" spans="1:12" ht="90">
      <c r="A16" s="121">
        <v>6599</v>
      </c>
      <c r="B16" s="80" t="s">
        <v>255</v>
      </c>
      <c r="C16" s="122">
        <v>48000000</v>
      </c>
      <c r="D16" s="122">
        <v>17920000</v>
      </c>
      <c r="E16" s="1"/>
      <c r="F16" s="1"/>
      <c r="G16" s="123"/>
      <c r="H16" s="50">
        <v>6001</v>
      </c>
      <c r="I16" s="51" t="s">
        <v>52</v>
      </c>
      <c r="J16" s="51" t="s">
        <v>53</v>
      </c>
      <c r="K16" s="36">
        <v>1477066800</v>
      </c>
      <c r="L16" s="38"/>
    </row>
    <row r="17" spans="1:12" ht="15">
      <c r="A17" s="78"/>
      <c r="B17" s="77" t="s">
        <v>195</v>
      </c>
      <c r="C17" s="196">
        <f>C18+C21</f>
        <v>426324470</v>
      </c>
      <c r="D17" s="196">
        <f>D18+D21</f>
        <v>32752200</v>
      </c>
      <c r="E17" s="1"/>
      <c r="F17" s="1"/>
      <c r="G17" s="123"/>
      <c r="H17" s="50">
        <v>6001</v>
      </c>
      <c r="I17" s="51" t="s">
        <v>52</v>
      </c>
      <c r="J17" s="51" t="s">
        <v>54</v>
      </c>
      <c r="K17" s="36">
        <v>1155405600</v>
      </c>
      <c r="L17" s="38"/>
    </row>
    <row r="18" spans="1:12" ht="15">
      <c r="A18" s="255" t="s">
        <v>196</v>
      </c>
      <c r="B18" s="256"/>
      <c r="C18" s="124">
        <f>SUM(C19:C20)</f>
        <v>345000000</v>
      </c>
      <c r="D18" s="124">
        <f>SUM(D19:D20)</f>
        <v>26520000</v>
      </c>
      <c r="E18" s="1"/>
      <c r="F18" s="1"/>
      <c r="G18" s="123"/>
      <c r="H18" s="50">
        <v>6051</v>
      </c>
      <c r="I18" s="51" t="s">
        <v>55</v>
      </c>
      <c r="J18" s="51"/>
      <c r="K18" s="36">
        <v>81175200</v>
      </c>
      <c r="L18" s="38"/>
    </row>
    <row r="19" spans="1:12" ht="30">
      <c r="A19" s="50">
        <v>6757</v>
      </c>
      <c r="B19" s="97" t="s">
        <v>256</v>
      </c>
      <c r="C19" s="36">
        <v>345000000</v>
      </c>
      <c r="D19" s="36">
        <v>26520000</v>
      </c>
      <c r="E19" s="1"/>
      <c r="F19" s="1"/>
      <c r="G19" s="123"/>
      <c r="H19" s="50"/>
      <c r="I19" s="51"/>
      <c r="J19" s="51"/>
      <c r="K19" s="36">
        <v>91700000</v>
      </c>
      <c r="L19" s="38"/>
    </row>
    <row r="20" spans="1:12" ht="15">
      <c r="A20" s="50"/>
      <c r="B20" s="51"/>
      <c r="C20" s="36"/>
      <c r="D20" s="36"/>
      <c r="E20" s="1"/>
      <c r="F20" s="1"/>
      <c r="G20" s="119">
        <v>6100</v>
      </c>
      <c r="H20" s="251" t="s">
        <v>56</v>
      </c>
      <c r="I20" s="251"/>
      <c r="J20" s="46"/>
      <c r="K20" s="52">
        <f>SUM(K21:K29)</f>
        <v>1211674160</v>
      </c>
      <c r="L20" s="53"/>
    </row>
    <row r="21" spans="1:12" ht="15">
      <c r="A21" s="255" t="s">
        <v>199</v>
      </c>
      <c r="B21" s="256"/>
      <c r="C21" s="53">
        <f>SUM(C22:C25)</f>
        <v>81324470</v>
      </c>
      <c r="D21" s="53">
        <f>SUM(D22:D25)</f>
        <v>6232200</v>
      </c>
      <c r="E21" s="1"/>
      <c r="F21" s="1"/>
      <c r="G21" s="123"/>
      <c r="H21" s="50">
        <v>6101</v>
      </c>
      <c r="I21" s="42" t="s">
        <v>57</v>
      </c>
      <c r="J21" s="42" t="s">
        <v>58</v>
      </c>
      <c r="K21" s="36">
        <v>54534000</v>
      </c>
      <c r="L21" s="54"/>
    </row>
    <row r="22" spans="1:12" ht="15">
      <c r="A22" s="50">
        <v>6301</v>
      </c>
      <c r="B22" s="55" t="s">
        <v>66</v>
      </c>
      <c r="C22" s="36">
        <f>C18*17.5%</f>
        <v>60374999.99999999</v>
      </c>
      <c r="D22" s="36">
        <v>4641000</v>
      </c>
      <c r="E22" s="1"/>
      <c r="F22" s="1"/>
      <c r="G22" s="123"/>
      <c r="H22" s="50">
        <v>6112</v>
      </c>
      <c r="I22" s="42" t="s">
        <v>59</v>
      </c>
      <c r="J22" s="42" t="s">
        <v>60</v>
      </c>
      <c r="K22" s="36">
        <v>745469252</v>
      </c>
      <c r="L22" s="54"/>
    </row>
    <row r="23" spans="1:12" ht="15">
      <c r="A23" s="50">
        <v>6302</v>
      </c>
      <c r="B23" s="55" t="s">
        <v>200</v>
      </c>
      <c r="C23" s="36">
        <f>C18*3%</f>
        <v>10350000</v>
      </c>
      <c r="D23" s="36">
        <v>795600</v>
      </c>
      <c r="E23" s="1"/>
      <c r="F23" s="1"/>
      <c r="G23" s="123"/>
      <c r="H23" s="50"/>
      <c r="I23" s="42"/>
      <c r="J23" s="42"/>
      <c r="K23" s="36"/>
      <c r="L23" s="54"/>
    </row>
    <row r="24" spans="1:12" ht="15">
      <c r="A24" s="50">
        <v>6303</v>
      </c>
      <c r="B24" s="55" t="s">
        <v>201</v>
      </c>
      <c r="C24" s="36">
        <f>C18*2%</f>
        <v>6900000</v>
      </c>
      <c r="D24" s="36">
        <v>530400</v>
      </c>
      <c r="E24" s="1"/>
      <c r="F24" s="1"/>
      <c r="G24" s="123"/>
      <c r="H24" s="50">
        <v>6113</v>
      </c>
      <c r="I24" s="42" t="s">
        <v>61</v>
      </c>
      <c r="J24" s="42" t="s">
        <v>62</v>
      </c>
      <c r="K24" s="36">
        <v>3576000</v>
      </c>
      <c r="L24" s="54"/>
    </row>
    <row r="25" spans="1:12" ht="15">
      <c r="A25" s="50">
        <v>6304</v>
      </c>
      <c r="B25" s="83" t="s">
        <v>202</v>
      </c>
      <c r="C25" s="36">
        <f>C19*1%+249470</f>
        <v>3699470</v>
      </c>
      <c r="D25" s="36">
        <v>265200</v>
      </c>
      <c r="E25" s="1"/>
      <c r="F25" s="1"/>
      <c r="G25" s="123"/>
      <c r="H25" s="50"/>
      <c r="I25" s="42"/>
      <c r="J25" s="42"/>
      <c r="K25" s="36"/>
      <c r="L25" s="54"/>
    </row>
    <row r="26" spans="1:12" ht="15">
      <c r="A26" s="50"/>
      <c r="B26" s="84" t="s">
        <v>203</v>
      </c>
      <c r="C26" s="85">
        <f>C27</f>
        <v>13500000</v>
      </c>
      <c r="D26" s="85">
        <f>D27</f>
        <v>0</v>
      </c>
      <c r="E26" s="1"/>
      <c r="F26" s="1"/>
      <c r="G26" s="123"/>
      <c r="H26" s="50">
        <v>6115</v>
      </c>
      <c r="I26" s="42" t="s">
        <v>63</v>
      </c>
      <c r="J26" s="42" t="s">
        <v>64</v>
      </c>
      <c r="K26" s="36">
        <v>384139284</v>
      </c>
      <c r="L26" s="54"/>
    </row>
    <row r="27" spans="1:12" ht="15">
      <c r="A27" s="50">
        <v>6157</v>
      </c>
      <c r="B27" s="42" t="s">
        <v>204</v>
      </c>
      <c r="C27" s="64">
        <v>13500000</v>
      </c>
      <c r="D27" s="64"/>
      <c r="E27" s="1"/>
      <c r="F27" s="1"/>
      <c r="G27" s="123"/>
      <c r="H27" s="50"/>
      <c r="I27" s="42"/>
      <c r="J27" s="42"/>
      <c r="K27" s="36"/>
      <c r="L27" s="54"/>
    </row>
    <row r="28" spans="1:12" ht="15">
      <c r="A28" s="255" t="s">
        <v>78</v>
      </c>
      <c r="B28" s="256"/>
      <c r="C28" s="85">
        <f>SUM(C29:C38)</f>
        <v>1265915000</v>
      </c>
      <c r="D28" s="85">
        <f>SUM(D29:D38)</f>
        <v>762300613</v>
      </c>
      <c r="E28" s="1"/>
      <c r="F28" s="1"/>
      <c r="G28" s="123"/>
      <c r="H28" s="50">
        <v>762300613</v>
      </c>
      <c r="I28" s="42"/>
      <c r="J28" s="42" t="s">
        <v>65</v>
      </c>
      <c r="K28" s="36">
        <v>23955624</v>
      </c>
      <c r="L28" s="54"/>
    </row>
    <row r="29" spans="1:12" ht="15">
      <c r="A29" s="50">
        <v>6449</v>
      </c>
      <c r="B29" s="83" t="s">
        <v>257</v>
      </c>
      <c r="C29" s="64">
        <v>300000000</v>
      </c>
      <c r="D29" s="64">
        <f>341817317</f>
        <v>341817317</v>
      </c>
      <c r="E29" s="1"/>
      <c r="F29" s="1"/>
      <c r="G29" s="123"/>
      <c r="H29" s="200">
        <f>H28-D28</f>
        <v>0</v>
      </c>
      <c r="I29" s="42"/>
      <c r="J29" s="42"/>
      <c r="K29" s="36"/>
      <c r="L29" s="54"/>
    </row>
    <row r="30" spans="1:12" ht="30">
      <c r="A30" s="50">
        <v>6449</v>
      </c>
      <c r="B30" s="125" t="s">
        <v>258</v>
      </c>
      <c r="C30" s="64">
        <v>14400000</v>
      </c>
      <c r="D30" s="64">
        <f>600000*2*6</f>
        <v>7200000</v>
      </c>
      <c r="E30" s="1"/>
      <c r="F30" s="1"/>
      <c r="G30" s="123"/>
      <c r="H30" s="50">
        <v>6301</v>
      </c>
      <c r="I30" s="55" t="s">
        <v>66</v>
      </c>
      <c r="J30" s="55" t="s">
        <v>67</v>
      </c>
      <c r="K30" s="36">
        <v>550346389</v>
      </c>
      <c r="L30" s="52"/>
    </row>
    <row r="31" spans="1:12" ht="30">
      <c r="A31" s="50">
        <v>6449</v>
      </c>
      <c r="B31" s="125" t="s">
        <v>259</v>
      </c>
      <c r="C31" s="64">
        <v>6000000</v>
      </c>
      <c r="D31" s="64">
        <f>500000*6</f>
        <v>3000000</v>
      </c>
      <c r="E31" s="1"/>
      <c r="F31" s="1"/>
      <c r="G31" s="123"/>
      <c r="H31" s="50">
        <v>6302</v>
      </c>
      <c r="I31" s="55" t="s">
        <v>68</v>
      </c>
      <c r="J31" s="55" t="s">
        <v>69</v>
      </c>
      <c r="K31" s="36">
        <f>(K15+K21+K26+K28)*3%</f>
        <v>98039295.24</v>
      </c>
      <c r="L31" s="52"/>
    </row>
    <row r="32" spans="1:12" ht="15">
      <c r="A32" s="50">
        <v>6449</v>
      </c>
      <c r="B32" s="83" t="s">
        <v>260</v>
      </c>
      <c r="C32" s="64">
        <v>89847000</v>
      </c>
      <c r="D32" s="64">
        <f>7487250*2+9713310+11675640+590040+7259280+710998+13718430+178800+13718430</f>
        <v>72539428</v>
      </c>
      <c r="E32" s="1"/>
      <c r="F32" s="1"/>
      <c r="G32" s="123"/>
      <c r="H32" s="50">
        <v>6303</v>
      </c>
      <c r="I32" s="55" t="s">
        <v>70</v>
      </c>
      <c r="J32" s="55" t="s">
        <v>71</v>
      </c>
      <c r="K32" s="36">
        <f>(K15+K21+K26+K28)*2%</f>
        <v>65359530.160000004</v>
      </c>
      <c r="L32" s="52"/>
    </row>
    <row r="33" spans="1:12" ht="15">
      <c r="A33" s="50">
        <v>6449</v>
      </c>
      <c r="B33" s="83" t="s">
        <v>261</v>
      </c>
      <c r="C33" s="64">
        <v>10800000</v>
      </c>
      <c r="D33" s="64"/>
      <c r="E33" s="1"/>
      <c r="F33" s="1"/>
      <c r="G33" s="123"/>
      <c r="H33" s="50">
        <v>6304</v>
      </c>
      <c r="I33" s="55" t="s">
        <v>72</v>
      </c>
      <c r="J33" s="55" t="s">
        <v>73</v>
      </c>
      <c r="K33" s="36">
        <f>(K15+K21+K26+K28)*1%</f>
        <v>32679765.080000002</v>
      </c>
      <c r="L33" s="52"/>
    </row>
    <row r="34" spans="1:12" ht="15">
      <c r="A34" s="50">
        <v>6449</v>
      </c>
      <c r="B34" s="83" t="s">
        <v>262</v>
      </c>
      <c r="C34" s="64">
        <v>4500000</v>
      </c>
      <c r="D34" s="64"/>
      <c r="E34" s="1"/>
      <c r="F34" s="1"/>
      <c r="G34" s="253" t="s">
        <v>77</v>
      </c>
      <c r="H34" s="254"/>
      <c r="I34" s="254"/>
      <c r="J34" s="56"/>
      <c r="K34" s="52">
        <f>K39+K44+K47+K57+K61+K66+K71+K77+K84+K92+K94+K103</f>
        <v>1524000000</v>
      </c>
      <c r="L34" s="53"/>
    </row>
    <row r="35" spans="1:12" ht="15">
      <c r="A35" s="50">
        <v>6449</v>
      </c>
      <c r="B35" s="83" t="s">
        <v>263</v>
      </c>
      <c r="C35" s="64">
        <v>37548000</v>
      </c>
      <c r="D35" s="64"/>
      <c r="E35" s="1"/>
      <c r="F35" s="1"/>
      <c r="G35" s="150"/>
      <c r="H35" s="56"/>
      <c r="I35" s="56"/>
      <c r="J35" s="56"/>
      <c r="K35" s="52"/>
      <c r="L35" s="53"/>
    </row>
    <row r="36" spans="1:12" ht="15">
      <c r="A36" s="50">
        <v>6449</v>
      </c>
      <c r="B36" s="83" t="s">
        <v>264</v>
      </c>
      <c r="C36" s="64">
        <v>26820000</v>
      </c>
      <c r="D36" s="64">
        <f>2235000*6</f>
        <v>13410000</v>
      </c>
      <c r="E36" s="1"/>
      <c r="F36" s="1"/>
      <c r="G36" s="150"/>
      <c r="H36" s="56"/>
      <c r="I36" s="56"/>
      <c r="J36" s="56"/>
      <c r="K36" s="52"/>
      <c r="L36" s="53"/>
    </row>
    <row r="37" spans="1:12" ht="15">
      <c r="A37" s="50">
        <v>6449</v>
      </c>
      <c r="B37" s="83" t="s">
        <v>265</v>
      </c>
      <c r="C37" s="64">
        <v>680000000</v>
      </c>
      <c r="D37" s="64">
        <v>324333868</v>
      </c>
      <c r="E37" s="1"/>
      <c r="F37" s="1"/>
      <c r="G37" s="150"/>
      <c r="H37" s="56"/>
      <c r="I37" s="56"/>
      <c r="J37" s="56"/>
      <c r="K37" s="52"/>
      <c r="L37" s="53"/>
    </row>
    <row r="38" spans="1:12" ht="15">
      <c r="A38" s="50">
        <v>6449</v>
      </c>
      <c r="B38" s="83" t="s">
        <v>266</v>
      </c>
      <c r="C38" s="126">
        <v>96000000</v>
      </c>
      <c r="D38" s="126"/>
      <c r="E38" s="1"/>
      <c r="F38" s="1"/>
      <c r="G38" s="150"/>
      <c r="H38" s="56"/>
      <c r="I38" s="56"/>
      <c r="J38" s="56"/>
      <c r="K38" s="52"/>
      <c r="L38" s="53"/>
    </row>
    <row r="39" spans="1:12" ht="14.25">
      <c r="A39" s="240" t="s">
        <v>114</v>
      </c>
      <c r="B39" s="240"/>
      <c r="C39" s="52">
        <f>C40</f>
        <v>20000000</v>
      </c>
      <c r="D39" s="52">
        <f>D40</f>
        <v>0</v>
      </c>
      <c r="E39" s="1"/>
      <c r="F39" s="1"/>
      <c r="G39" s="119">
        <v>6400</v>
      </c>
      <c r="H39" s="251" t="s">
        <v>78</v>
      </c>
      <c r="I39" s="251"/>
      <c r="J39" s="46"/>
      <c r="K39" s="57">
        <f>SUM(K40:K43)</f>
        <v>30990000</v>
      </c>
      <c r="L39" s="57"/>
    </row>
    <row r="40" spans="1:12" ht="15">
      <c r="A40" s="50">
        <v>6758</v>
      </c>
      <c r="B40" s="42" t="s">
        <v>213</v>
      </c>
      <c r="C40" s="88">
        <v>20000000</v>
      </c>
      <c r="D40" s="88"/>
      <c r="E40" s="1"/>
      <c r="F40" s="1"/>
      <c r="G40" s="151"/>
      <c r="H40" s="50">
        <v>6449</v>
      </c>
      <c r="I40" s="55" t="s">
        <v>79</v>
      </c>
      <c r="J40" s="55" t="s">
        <v>80</v>
      </c>
      <c r="K40" s="38">
        <v>22590000</v>
      </c>
      <c r="L40" s="52"/>
    </row>
    <row r="41" spans="1:12" ht="15">
      <c r="A41" s="50"/>
      <c r="B41" s="61" t="s">
        <v>134</v>
      </c>
      <c r="C41" s="85">
        <f>SUM(C42:C42)</f>
        <v>1200000</v>
      </c>
      <c r="D41" s="85">
        <f>SUM(D42:D42)</f>
        <v>0</v>
      </c>
      <c r="E41" s="1"/>
      <c r="F41" s="1"/>
      <c r="G41" s="151"/>
      <c r="H41" s="50"/>
      <c r="I41" s="55"/>
      <c r="J41" s="55"/>
      <c r="K41" s="38"/>
      <c r="L41" s="52"/>
    </row>
    <row r="42" spans="1:12" ht="15">
      <c r="A42" s="50">
        <v>7004</v>
      </c>
      <c r="B42" s="55" t="s">
        <v>137</v>
      </c>
      <c r="C42" s="64">
        <v>1200000</v>
      </c>
      <c r="D42" s="64"/>
      <c r="E42" s="1"/>
      <c r="F42" s="1"/>
      <c r="G42" s="151"/>
      <c r="H42" s="50">
        <v>6449</v>
      </c>
      <c r="I42" s="55" t="s">
        <v>79</v>
      </c>
      <c r="J42" s="55" t="s">
        <v>80</v>
      </c>
      <c r="K42" s="38">
        <v>8400000</v>
      </c>
      <c r="L42" s="52"/>
    </row>
    <row r="43" spans="1:12" ht="15">
      <c r="A43" s="50"/>
      <c r="B43" s="61" t="s">
        <v>79</v>
      </c>
      <c r="C43" s="85">
        <f>SUM(C44:C45)</f>
        <v>150000000</v>
      </c>
      <c r="D43" s="85">
        <f>SUM(D44:D45)</f>
        <v>120000000</v>
      </c>
      <c r="E43" s="1"/>
      <c r="F43" s="1"/>
      <c r="G43" s="151"/>
      <c r="H43" s="50"/>
      <c r="I43" s="55"/>
      <c r="J43" s="55"/>
      <c r="K43" s="38"/>
      <c r="L43" s="58"/>
    </row>
    <row r="44" spans="1:12" ht="15">
      <c r="A44" s="50">
        <v>7757</v>
      </c>
      <c r="B44" s="90" t="s">
        <v>217</v>
      </c>
      <c r="C44" s="64">
        <v>30000000</v>
      </c>
      <c r="D44" s="64"/>
      <c r="E44" s="1"/>
      <c r="F44" s="1"/>
      <c r="G44" s="123">
        <v>6500</v>
      </c>
      <c r="H44" s="240" t="s">
        <v>81</v>
      </c>
      <c r="I44" s="240"/>
      <c r="J44" s="49"/>
      <c r="K44" s="52">
        <f>SUM(K45:K46)</f>
        <v>360000000</v>
      </c>
      <c r="L44" s="52"/>
    </row>
    <row r="45" spans="1:12" ht="15">
      <c r="A45" s="50">
        <v>7799</v>
      </c>
      <c r="B45" s="55" t="s">
        <v>267</v>
      </c>
      <c r="C45" s="64">
        <v>120000000</v>
      </c>
      <c r="D45" s="64">
        <v>120000000</v>
      </c>
      <c r="E45" s="1"/>
      <c r="F45" s="1"/>
      <c r="G45" s="123"/>
      <c r="H45" s="50">
        <v>6501</v>
      </c>
      <c r="I45" s="51" t="s">
        <v>82</v>
      </c>
      <c r="J45" s="51" t="s">
        <v>83</v>
      </c>
      <c r="K45" s="37">
        <v>300000000</v>
      </c>
      <c r="L45" s="38"/>
    </row>
    <row r="46" spans="1:12" ht="15">
      <c r="A46" s="49"/>
      <c r="B46" s="84" t="s">
        <v>268</v>
      </c>
      <c r="C46" s="85">
        <f>C47</f>
        <v>149000000</v>
      </c>
      <c r="D46" s="85">
        <f>D47</f>
        <v>0</v>
      </c>
      <c r="E46" s="1"/>
      <c r="F46" s="1"/>
      <c r="G46" s="123"/>
      <c r="H46" s="50">
        <v>6504</v>
      </c>
      <c r="I46" s="51" t="s">
        <v>84</v>
      </c>
      <c r="J46" s="51" t="s">
        <v>85</v>
      </c>
      <c r="K46" s="37">
        <v>60000000</v>
      </c>
      <c r="L46" s="38"/>
    </row>
    <row r="47" spans="1:12" ht="15">
      <c r="A47" s="50">
        <v>8006</v>
      </c>
      <c r="B47" s="55" t="s">
        <v>269</v>
      </c>
      <c r="C47" s="64">
        <v>149000000</v>
      </c>
      <c r="D47" s="64"/>
      <c r="E47" s="1"/>
      <c r="F47" s="1"/>
      <c r="G47" s="123">
        <v>6550</v>
      </c>
      <c r="H47" s="240" t="s">
        <v>86</v>
      </c>
      <c r="I47" s="240"/>
      <c r="J47" s="49"/>
      <c r="K47" s="52">
        <f>SUM(K48:K56)</f>
        <v>377200000</v>
      </c>
      <c r="L47" s="52"/>
    </row>
    <row r="48" spans="1:12" ht="20.25">
      <c r="A48" s="95"/>
      <c r="B48" s="127" t="s">
        <v>270</v>
      </c>
      <c r="C48" s="146">
        <f>C15+C17+C26+C28+C39+C41+C43+C46</f>
        <v>2073939470</v>
      </c>
      <c r="D48" s="146">
        <f>D15+D17+D26+D28+D39+D41+D43+D46</f>
        <v>932972813</v>
      </c>
      <c r="E48" s="1"/>
      <c r="F48" s="1"/>
      <c r="G48" s="123"/>
      <c r="H48" s="50">
        <v>932972813</v>
      </c>
      <c r="I48" s="59"/>
      <c r="J48" s="59" t="s">
        <v>88</v>
      </c>
      <c r="K48" s="37">
        <v>60000000</v>
      </c>
      <c r="L48" s="38"/>
    </row>
    <row r="49" spans="1:12" ht="15" customHeight="1">
      <c r="A49" s="257" t="s">
        <v>271</v>
      </c>
      <c r="B49" s="258" t="s">
        <v>272</v>
      </c>
      <c r="C49" s="252" t="s">
        <v>273</v>
      </c>
      <c r="D49" s="252" t="s">
        <v>273</v>
      </c>
      <c r="E49" s="1"/>
      <c r="F49" s="1"/>
      <c r="G49" s="123"/>
      <c r="H49" s="50"/>
      <c r="I49" s="59"/>
      <c r="J49" s="59"/>
      <c r="K49" s="37"/>
      <c r="L49" s="38"/>
    </row>
    <row r="50" spans="1:12" ht="15" customHeight="1">
      <c r="A50" s="257"/>
      <c r="B50" s="258"/>
      <c r="C50" s="252"/>
      <c r="D50" s="252"/>
      <c r="E50" s="1"/>
      <c r="F50" s="1"/>
      <c r="G50" s="123"/>
      <c r="H50" s="202">
        <f>D56+D57</f>
        <v>1444129045</v>
      </c>
      <c r="I50" s="59"/>
      <c r="J50" s="59"/>
      <c r="K50" s="37"/>
      <c r="L50" s="38"/>
    </row>
    <row r="51" spans="1:12" ht="15" customHeight="1">
      <c r="A51" s="129">
        <v>2</v>
      </c>
      <c r="B51" s="128">
        <v>3</v>
      </c>
      <c r="C51" s="130">
        <v>5</v>
      </c>
      <c r="D51" s="130">
        <v>5</v>
      </c>
      <c r="E51" s="1"/>
      <c r="F51" s="1"/>
      <c r="G51" s="123"/>
      <c r="H51" s="50"/>
      <c r="I51" s="59"/>
      <c r="J51" s="59"/>
      <c r="K51" s="37"/>
      <c r="L51" s="38"/>
    </row>
    <row r="52" spans="1:12" ht="15">
      <c r="A52" s="132"/>
      <c r="B52" s="131" t="s">
        <v>274</v>
      </c>
      <c r="C52" s="155">
        <f>C54+C78</f>
        <v>6841177210.18</v>
      </c>
      <c r="D52" s="155">
        <f>D54+D78</f>
        <v>3311327459</v>
      </c>
      <c r="E52" s="1"/>
      <c r="F52" s="1"/>
      <c r="G52" s="123"/>
      <c r="H52" s="50"/>
      <c r="I52" s="59"/>
      <c r="J52" s="59"/>
      <c r="K52" s="37"/>
      <c r="L52" s="38"/>
    </row>
    <row r="53" spans="1:12" ht="15">
      <c r="A53" s="133"/>
      <c r="B53" s="133"/>
      <c r="C53" s="133"/>
      <c r="D53" s="133"/>
      <c r="E53" s="1"/>
      <c r="F53" s="1"/>
      <c r="G53" s="123"/>
      <c r="H53" s="50">
        <v>6552</v>
      </c>
      <c r="I53" s="59" t="s">
        <v>89</v>
      </c>
      <c r="J53" s="59" t="s">
        <v>90</v>
      </c>
      <c r="K53" s="60">
        <v>60000000</v>
      </c>
      <c r="L53" s="38"/>
    </row>
    <row r="54" spans="1:12" ht="16.5">
      <c r="A54" s="134"/>
      <c r="B54" s="134" t="s">
        <v>76</v>
      </c>
      <c r="C54" s="135">
        <f>C55+C60+C69+C59+0.5</f>
        <v>5182377210.18</v>
      </c>
      <c r="D54" s="135">
        <f>D55+D60+D69+D59</f>
        <v>2621715610</v>
      </c>
      <c r="E54" s="1"/>
      <c r="G54" s="120"/>
      <c r="H54" s="201">
        <v>3311327459</v>
      </c>
      <c r="I54" s="59" t="s">
        <v>89</v>
      </c>
      <c r="J54" s="62" t="s">
        <v>91</v>
      </c>
      <c r="K54" s="63">
        <v>158200000</v>
      </c>
      <c r="L54" s="64"/>
    </row>
    <row r="55" spans="1:12" ht="16.5">
      <c r="A55" s="240" t="s">
        <v>51</v>
      </c>
      <c r="B55" s="240"/>
      <c r="C55" s="76">
        <f>SUM(C56:C58)</f>
        <v>2876367600</v>
      </c>
      <c r="D55" s="76">
        <f>SUM(D56:D58)</f>
        <v>1523689045</v>
      </c>
      <c r="E55" s="1"/>
      <c r="F55" s="1"/>
      <c r="G55" s="198">
        <f>D55+D61+D62</f>
        <v>1555873045</v>
      </c>
      <c r="H55" s="200">
        <f>H54-D52</f>
        <v>0</v>
      </c>
      <c r="I55" s="59" t="s">
        <v>89</v>
      </c>
      <c r="J55" s="62" t="s">
        <v>92</v>
      </c>
      <c r="K55" s="63">
        <v>69000000</v>
      </c>
      <c r="L55" s="64"/>
    </row>
    <row r="56" spans="1:12" ht="30">
      <c r="A56" s="50">
        <v>6001</v>
      </c>
      <c r="B56" s="97" t="s">
        <v>275</v>
      </c>
      <c r="C56" s="36">
        <f>149.88*1210000*12</f>
        <v>2176257600</v>
      </c>
      <c r="D56" s="36">
        <f>1444129045/149*121</f>
        <v>1172749090.2348993</v>
      </c>
      <c r="E56" s="147"/>
      <c r="F56" s="10"/>
      <c r="G56" s="123"/>
      <c r="H56" s="50">
        <v>6599</v>
      </c>
      <c r="I56" s="59" t="s">
        <v>93</v>
      </c>
      <c r="J56" s="59" t="s">
        <v>94</v>
      </c>
      <c r="K56" s="37">
        <v>30000000</v>
      </c>
      <c r="L56" s="38"/>
    </row>
    <row r="57" spans="1:12" ht="15">
      <c r="A57" s="50">
        <v>6001</v>
      </c>
      <c r="B57" s="51" t="s">
        <v>276</v>
      </c>
      <c r="C57" s="36">
        <f>149.88*280000*12</f>
        <v>503596800</v>
      </c>
      <c r="D57" s="36">
        <f>1444129045/149*28</f>
        <v>271379954.76510066</v>
      </c>
      <c r="E57" s="1"/>
      <c r="F57" s="10"/>
      <c r="G57" s="123">
        <v>6600</v>
      </c>
      <c r="H57" s="240" t="s">
        <v>95</v>
      </c>
      <c r="I57" s="240"/>
      <c r="J57" s="49"/>
      <c r="K57" s="52">
        <f>SUM(K58:K60)</f>
        <v>15216000</v>
      </c>
      <c r="L57" s="52"/>
    </row>
    <row r="58" spans="1:12" ht="15">
      <c r="A58" s="50">
        <v>6051</v>
      </c>
      <c r="B58" s="51" t="s">
        <v>277</v>
      </c>
      <c r="C58" s="36">
        <v>196513200</v>
      </c>
      <c r="D58" s="36">
        <v>79560000</v>
      </c>
      <c r="E58" s="1"/>
      <c r="F58" s="10"/>
      <c r="G58" s="123"/>
      <c r="H58" s="50">
        <v>6601</v>
      </c>
      <c r="I58" s="59" t="s">
        <v>96</v>
      </c>
      <c r="J58" s="59" t="s">
        <v>97</v>
      </c>
      <c r="K58" s="37">
        <v>3600000</v>
      </c>
      <c r="L58" s="38"/>
    </row>
    <row r="59" spans="1:12" ht="15">
      <c r="A59" s="50"/>
      <c r="B59" s="51"/>
      <c r="C59" s="36">
        <f>C55*0.03-20309471</f>
        <v>65981557</v>
      </c>
      <c r="D59" s="36"/>
      <c r="E59" s="1"/>
      <c r="F59" s="10"/>
      <c r="G59" s="123"/>
      <c r="H59" s="50">
        <v>6605</v>
      </c>
      <c r="I59" s="59" t="s">
        <v>98</v>
      </c>
      <c r="J59" s="59" t="s">
        <v>99</v>
      </c>
      <c r="K59" s="37">
        <v>6816000</v>
      </c>
      <c r="L59" s="38"/>
    </row>
    <row r="60" spans="1:12" ht="15">
      <c r="A60" s="240" t="s">
        <v>56</v>
      </c>
      <c r="B60" s="240"/>
      <c r="C60" s="52">
        <f>SUM(C61:C68)</f>
        <v>1303856088</v>
      </c>
      <c r="D60" s="52">
        <f>SUM(D61:D68)</f>
        <v>650737406</v>
      </c>
      <c r="E60" s="1"/>
      <c r="F60" s="10"/>
      <c r="G60" s="123"/>
      <c r="H60" s="50">
        <v>6618</v>
      </c>
      <c r="I60" s="59" t="s">
        <v>100</v>
      </c>
      <c r="J60" s="59" t="s">
        <v>101</v>
      </c>
      <c r="K60" s="37">
        <v>4800000</v>
      </c>
      <c r="L60" s="38"/>
    </row>
    <row r="61" spans="1:12" ht="15">
      <c r="A61" s="50">
        <v>6101</v>
      </c>
      <c r="B61" s="42" t="s">
        <v>278</v>
      </c>
      <c r="C61" s="36">
        <f>3.6*1210000*12</f>
        <v>52272000</v>
      </c>
      <c r="D61" s="36">
        <f>32184000/1490*1210</f>
        <v>26136000</v>
      </c>
      <c r="E61" s="1"/>
      <c r="F61" s="10"/>
      <c r="G61" s="123">
        <v>6650</v>
      </c>
      <c r="H61" s="240" t="s">
        <v>102</v>
      </c>
      <c r="I61" s="240"/>
      <c r="J61" s="49"/>
      <c r="K61" s="52">
        <f>SUM(K62:K65)</f>
        <v>0</v>
      </c>
      <c r="L61" s="52"/>
    </row>
    <row r="62" spans="1:12" ht="15">
      <c r="A62" s="50"/>
      <c r="B62" s="42" t="s">
        <v>279</v>
      </c>
      <c r="C62" s="36">
        <f>3.6*280000*12</f>
        <v>12096000</v>
      </c>
      <c r="D62" s="36">
        <f>32184000/1490*280</f>
        <v>6048000</v>
      </c>
      <c r="E62" s="1"/>
      <c r="F62" s="10"/>
      <c r="G62" s="123"/>
      <c r="H62" s="50">
        <v>6657</v>
      </c>
      <c r="I62" s="59" t="s">
        <v>103</v>
      </c>
      <c r="J62" s="59"/>
      <c r="K62" s="37"/>
      <c r="L62" s="38"/>
    </row>
    <row r="63" spans="1:12" ht="15">
      <c r="A63" s="50">
        <v>6112</v>
      </c>
      <c r="B63" s="42" t="s">
        <v>280</v>
      </c>
      <c r="C63" s="36">
        <f>49.9994*1210000*12</f>
        <v>725991288</v>
      </c>
      <c r="D63" s="36">
        <f>423104677/1490*1210</f>
        <v>343595073.2684564</v>
      </c>
      <c r="E63" s="1"/>
      <c r="F63" s="10"/>
      <c r="G63" s="123"/>
      <c r="H63" s="50"/>
      <c r="I63" s="59"/>
      <c r="J63" s="59"/>
      <c r="K63" s="37"/>
      <c r="L63" s="38"/>
    </row>
    <row r="64" spans="1:12" ht="15">
      <c r="A64" s="50"/>
      <c r="B64" s="42" t="s">
        <v>281</v>
      </c>
      <c r="C64" s="36">
        <f>49.9994*280000*12</f>
        <v>167997984</v>
      </c>
      <c r="D64" s="36">
        <f>423104677/1490*280</f>
        <v>79509603.73154363</v>
      </c>
      <c r="E64" s="1"/>
      <c r="F64" s="10"/>
      <c r="G64" s="123"/>
      <c r="H64" s="50"/>
      <c r="I64" s="59"/>
      <c r="J64" s="59"/>
      <c r="K64" s="37"/>
      <c r="L64" s="38"/>
    </row>
    <row r="65" spans="1:12" ht="15">
      <c r="A65" s="50">
        <v>6113</v>
      </c>
      <c r="B65" s="42" t="s">
        <v>282</v>
      </c>
      <c r="C65" s="36">
        <f>0.3*1210000*12</f>
        <v>4356000</v>
      </c>
      <c r="D65" s="36">
        <f>3576000/1490*1210</f>
        <v>2904000</v>
      </c>
      <c r="E65" s="1"/>
      <c r="F65" s="10"/>
      <c r="G65" s="123"/>
      <c r="H65" s="50">
        <v>6699</v>
      </c>
      <c r="I65" s="51" t="s">
        <v>104</v>
      </c>
      <c r="J65" s="51"/>
      <c r="K65" s="37"/>
      <c r="L65" s="38"/>
    </row>
    <row r="66" spans="1:12" ht="15">
      <c r="A66" s="50"/>
      <c r="B66" s="42" t="s">
        <v>283</v>
      </c>
      <c r="C66" s="36">
        <f>0.3*280000*12</f>
        <v>1008000</v>
      </c>
      <c r="D66" s="36">
        <f>3576000/1490*280</f>
        <v>672000</v>
      </c>
      <c r="E66" s="1"/>
      <c r="F66" s="1"/>
      <c r="G66" s="123">
        <v>6700</v>
      </c>
      <c r="H66" s="240" t="s">
        <v>105</v>
      </c>
      <c r="I66" s="240"/>
      <c r="J66" s="49"/>
      <c r="K66" s="52">
        <f>SUM(K67:K70)</f>
        <v>78948000</v>
      </c>
      <c r="L66" s="52"/>
    </row>
    <row r="67" spans="1:12" ht="26.25">
      <c r="A67" s="50">
        <v>6115</v>
      </c>
      <c r="B67" s="136" t="s">
        <v>284</v>
      </c>
      <c r="C67" s="36">
        <f>(18.0488+0.9744)*1210000*12</f>
        <v>276216864</v>
      </c>
      <c r="D67" s="36">
        <f>191872729/1490*1210</f>
        <v>155816108.7852349</v>
      </c>
      <c r="E67" s="1"/>
      <c r="F67" s="1"/>
      <c r="G67" s="123"/>
      <c r="H67" s="50">
        <v>6701</v>
      </c>
      <c r="I67" s="51" t="s">
        <v>106</v>
      </c>
      <c r="J67" s="51" t="s">
        <v>107</v>
      </c>
      <c r="K67" s="37">
        <v>30000000</v>
      </c>
      <c r="L67" s="38"/>
    </row>
    <row r="68" spans="1:12" ht="26.25">
      <c r="A68" s="50"/>
      <c r="B68" s="136" t="s">
        <v>285</v>
      </c>
      <c r="C68" s="36">
        <f>(18.0488+0.9744)*280000*12</f>
        <v>63917952</v>
      </c>
      <c r="D68" s="36">
        <f>191872729/1490*280</f>
        <v>36056620.2147651</v>
      </c>
      <c r="E68" s="1"/>
      <c r="F68" s="1"/>
      <c r="G68" s="123"/>
      <c r="H68" s="50">
        <v>6702</v>
      </c>
      <c r="I68" s="51" t="s">
        <v>108</v>
      </c>
      <c r="J68" s="51" t="s">
        <v>109</v>
      </c>
      <c r="K68" s="37">
        <v>30948000</v>
      </c>
      <c r="L68" s="38"/>
    </row>
    <row r="69" spans="1:12" ht="15">
      <c r="A69" s="240" t="s">
        <v>286</v>
      </c>
      <c r="B69" s="240"/>
      <c r="C69" s="52">
        <f>SUM(C70:C77)</f>
        <v>936171964.6799998</v>
      </c>
      <c r="D69" s="52">
        <f>SUM(D70:D77)</f>
        <v>447289159</v>
      </c>
      <c r="E69" s="1"/>
      <c r="F69" s="1"/>
      <c r="G69" s="123"/>
      <c r="H69" s="50">
        <v>6703</v>
      </c>
      <c r="I69" s="51" t="s">
        <v>110</v>
      </c>
      <c r="J69" s="51" t="s">
        <v>111</v>
      </c>
      <c r="K69" s="37">
        <v>6000000</v>
      </c>
      <c r="L69" s="38"/>
    </row>
    <row r="70" spans="1:12" ht="15">
      <c r="A70" s="50">
        <v>6301</v>
      </c>
      <c r="B70" s="55" t="s">
        <v>287</v>
      </c>
      <c r="C70" s="36">
        <f>(C56+C61+C63+C65+C67)*17.5%</f>
        <v>566141406.5999999</v>
      </c>
      <c r="D70" s="36">
        <f>333469460/1490*1210</f>
        <v>270804058.1208054</v>
      </c>
      <c r="E70" s="147"/>
      <c r="F70" s="1"/>
      <c r="G70" s="123"/>
      <c r="H70" s="50">
        <v>6704</v>
      </c>
      <c r="I70" s="59" t="s">
        <v>112</v>
      </c>
      <c r="J70" s="59" t="s">
        <v>113</v>
      </c>
      <c r="K70" s="37">
        <v>12000000</v>
      </c>
      <c r="L70" s="38"/>
    </row>
    <row r="71" spans="1:12" ht="15">
      <c r="A71" s="50">
        <v>6302</v>
      </c>
      <c r="B71" s="55" t="s">
        <v>288</v>
      </c>
      <c r="C71" s="36">
        <f>(C56+C61+C63+C65+C67)*3%</f>
        <v>97052812.56</v>
      </c>
      <c r="D71" s="36">
        <f>57166193/1490*1210</f>
        <v>46423552.70469799</v>
      </c>
      <c r="E71" s="1"/>
      <c r="F71" s="1"/>
      <c r="G71" s="123">
        <v>6750</v>
      </c>
      <c r="H71" s="240" t="s">
        <v>114</v>
      </c>
      <c r="I71" s="240"/>
      <c r="J71" s="49"/>
      <c r="K71" s="52">
        <f>SUM(K72:K76)</f>
        <v>144000000</v>
      </c>
      <c r="L71" s="52"/>
    </row>
    <row r="72" spans="1:12" ht="15">
      <c r="A72" s="50">
        <v>6303</v>
      </c>
      <c r="B72" s="55" t="s">
        <v>289</v>
      </c>
      <c r="C72" s="36">
        <f>(C56+C61+C63+C65+C67)*2%</f>
        <v>64701875.04</v>
      </c>
      <c r="D72" s="36">
        <f>38109453/1490*1210</f>
        <v>30947945.053691275</v>
      </c>
      <c r="E72" s="1"/>
      <c r="F72" s="1"/>
      <c r="G72" s="123"/>
      <c r="H72" s="50">
        <v>6751</v>
      </c>
      <c r="I72" s="51" t="s">
        <v>115</v>
      </c>
      <c r="J72" s="51" t="s">
        <v>116</v>
      </c>
      <c r="K72" s="38">
        <v>18000000</v>
      </c>
      <c r="L72" s="38"/>
    </row>
    <row r="73" spans="1:12" ht="15">
      <c r="A73" s="50">
        <v>6304</v>
      </c>
      <c r="B73" s="55" t="s">
        <v>290</v>
      </c>
      <c r="C73" s="36">
        <f>(C56+C61+C63+C65+C67)*1%</f>
        <v>32350937.52</v>
      </c>
      <c r="D73" s="36">
        <f>18544053/1490*1210</f>
        <v>15059264.516778523</v>
      </c>
      <c r="E73" s="1"/>
      <c r="F73" s="1"/>
      <c r="G73" s="98"/>
      <c r="H73" s="50">
        <v>6757</v>
      </c>
      <c r="I73" s="55" t="s">
        <v>117</v>
      </c>
      <c r="J73" s="55" t="s">
        <v>118</v>
      </c>
      <c r="K73" s="39">
        <v>36000000</v>
      </c>
      <c r="L73" s="64"/>
    </row>
    <row r="74" spans="1:12" ht="15">
      <c r="A74" s="50">
        <v>6301</v>
      </c>
      <c r="B74" s="55" t="s">
        <v>291</v>
      </c>
      <c r="C74" s="36">
        <f>(C57+C62+C64+C66+C68)*17.5%</f>
        <v>131007928.8</v>
      </c>
      <c r="D74" s="36">
        <f>333469460/1490*280</f>
        <v>62665401.87919463</v>
      </c>
      <c r="E74" s="1"/>
      <c r="F74" s="1"/>
      <c r="G74" s="98"/>
      <c r="H74" s="50">
        <v>6757</v>
      </c>
      <c r="I74" s="55" t="s">
        <v>117</v>
      </c>
      <c r="J74" s="55" t="s">
        <v>119</v>
      </c>
      <c r="K74" s="39">
        <v>48000000</v>
      </c>
      <c r="L74" s="64"/>
    </row>
    <row r="75" spans="1:12" ht="15">
      <c r="A75" s="50">
        <v>6302</v>
      </c>
      <c r="B75" s="55" t="s">
        <v>292</v>
      </c>
      <c r="C75" s="36">
        <f>(C57+C62+C64+C66+C68)*3%</f>
        <v>22458502.08</v>
      </c>
      <c r="D75" s="36">
        <f>57166193/1490*280</f>
        <v>10742640.295302013</v>
      </c>
      <c r="E75" s="1"/>
      <c r="F75" s="1"/>
      <c r="G75" s="98"/>
      <c r="H75" s="50">
        <v>6758</v>
      </c>
      <c r="I75" s="55" t="s">
        <v>120</v>
      </c>
      <c r="J75" s="55" t="s">
        <v>121</v>
      </c>
      <c r="K75" s="39">
        <v>30000000</v>
      </c>
      <c r="L75" s="64"/>
    </row>
    <row r="76" spans="1:12" ht="15">
      <c r="A76" s="50">
        <v>6303</v>
      </c>
      <c r="B76" s="55" t="s">
        <v>293</v>
      </c>
      <c r="C76" s="36">
        <f>(C57+C62+C64+C66+C68)*2%</f>
        <v>14972334.72</v>
      </c>
      <c r="D76" s="36">
        <f>38109453/1490*280</f>
        <v>7161507.9463087255</v>
      </c>
      <c r="E76" s="1"/>
      <c r="F76" s="1"/>
      <c r="G76" s="123"/>
      <c r="H76" s="50">
        <v>6799</v>
      </c>
      <c r="I76" s="55" t="s">
        <v>122</v>
      </c>
      <c r="J76" s="55" t="s">
        <v>123</v>
      </c>
      <c r="K76" s="38">
        <v>12000000</v>
      </c>
      <c r="L76" s="38"/>
    </row>
    <row r="77" spans="1:12" ht="15">
      <c r="A77" s="50">
        <v>6304</v>
      </c>
      <c r="B77" s="55" t="s">
        <v>294</v>
      </c>
      <c r="C77" s="36">
        <f>(C57+C62+C64+C66+C68)*1%</f>
        <v>7486167.36</v>
      </c>
      <c r="D77" s="36">
        <f>18544053/1490*280</f>
        <v>3484788.4832214764</v>
      </c>
      <c r="E77" s="1"/>
      <c r="F77" s="1"/>
      <c r="G77" s="123">
        <v>6900</v>
      </c>
      <c r="H77" s="240" t="s">
        <v>124</v>
      </c>
      <c r="I77" s="240"/>
      <c r="J77" s="49"/>
      <c r="K77" s="52">
        <f>SUM(K78:K83)</f>
        <v>267600000</v>
      </c>
      <c r="L77" s="52"/>
    </row>
    <row r="78" spans="1:12" ht="15">
      <c r="A78" s="71"/>
      <c r="B78" s="71" t="s">
        <v>295</v>
      </c>
      <c r="C78" s="52">
        <f>C79+C84+C88+C94+C98+C101+C106+C111+C117+C123+C125+C134</f>
        <v>1658800000</v>
      </c>
      <c r="D78" s="52">
        <f>D79+D84+D88+D94+D98+D101+D106+D111+D117+D123+D125+D134</f>
        <v>689611849</v>
      </c>
      <c r="E78" s="1"/>
      <c r="F78" s="1"/>
      <c r="G78" s="151"/>
      <c r="H78" s="50">
        <v>6907</v>
      </c>
      <c r="I78" s="51" t="s">
        <v>125</v>
      </c>
      <c r="J78" s="51" t="s">
        <v>126</v>
      </c>
      <c r="K78" s="37">
        <v>30000000</v>
      </c>
      <c r="L78" s="38"/>
    </row>
    <row r="79" spans="1:12" ht="15">
      <c r="A79" s="240" t="s">
        <v>78</v>
      </c>
      <c r="B79" s="240"/>
      <c r="C79" s="52">
        <f>SUM(C80:C83)</f>
        <v>30990000</v>
      </c>
      <c r="D79" s="52">
        <f>SUM(D80:D83)</f>
        <v>70917000</v>
      </c>
      <c r="E79" s="1"/>
      <c r="F79" s="1"/>
      <c r="G79" s="151"/>
      <c r="H79" s="50">
        <v>6912</v>
      </c>
      <c r="I79" s="51" t="s">
        <v>127</v>
      </c>
      <c r="J79" s="51" t="s">
        <v>128</v>
      </c>
      <c r="K79" s="37">
        <v>12000000</v>
      </c>
      <c r="L79" s="38"/>
    </row>
    <row r="80" spans="1:12" ht="15">
      <c r="A80" s="49">
        <v>6404</v>
      </c>
      <c r="B80" s="49" t="s">
        <v>345</v>
      </c>
      <c r="C80" s="52"/>
      <c r="D80" s="52">
        <v>51600000</v>
      </c>
      <c r="E80" s="1"/>
      <c r="F80" s="1"/>
      <c r="G80" s="151"/>
      <c r="H80" s="50"/>
      <c r="I80" s="51"/>
      <c r="J80" s="51"/>
      <c r="K80" s="37"/>
      <c r="L80" s="38"/>
    </row>
    <row r="81" spans="1:12" ht="15">
      <c r="A81" s="50">
        <v>6449</v>
      </c>
      <c r="B81" s="55" t="s">
        <v>296</v>
      </c>
      <c r="C81" s="38">
        <v>22590000</v>
      </c>
      <c r="D81" s="38">
        <v>19317000</v>
      </c>
      <c r="E81" s="1"/>
      <c r="F81" s="1"/>
      <c r="G81" s="151"/>
      <c r="H81" s="50">
        <v>6913</v>
      </c>
      <c r="I81" s="51" t="s">
        <v>129</v>
      </c>
      <c r="J81" s="51" t="s">
        <v>126</v>
      </c>
      <c r="K81" s="37">
        <v>30000000</v>
      </c>
      <c r="L81" s="38"/>
    </row>
    <row r="82" spans="1:12" ht="15">
      <c r="A82" s="50">
        <v>6449</v>
      </c>
      <c r="B82" s="55" t="s">
        <v>79</v>
      </c>
      <c r="C82" s="38">
        <v>8400000</v>
      </c>
      <c r="D82" s="38"/>
      <c r="E82" s="1"/>
      <c r="F82" s="1"/>
      <c r="G82" s="151"/>
      <c r="H82" s="50">
        <v>6921</v>
      </c>
      <c r="I82" s="51" t="s">
        <v>130</v>
      </c>
      <c r="J82" s="51" t="s">
        <v>131</v>
      </c>
      <c r="K82" s="37">
        <v>96000000</v>
      </c>
      <c r="L82" s="38"/>
    </row>
    <row r="83" spans="1:12" ht="15">
      <c r="A83" s="50"/>
      <c r="B83" s="55"/>
      <c r="C83" s="38"/>
      <c r="D83" s="38"/>
      <c r="E83" s="1"/>
      <c r="F83" s="1"/>
      <c r="G83" s="151"/>
      <c r="H83" s="50">
        <v>6949</v>
      </c>
      <c r="I83" s="51" t="s">
        <v>132</v>
      </c>
      <c r="J83" s="51" t="s">
        <v>133</v>
      </c>
      <c r="K83" s="37">
        <v>99600000</v>
      </c>
      <c r="L83" s="38"/>
    </row>
    <row r="84" spans="1:12" ht="14.25">
      <c r="A84" s="240" t="s">
        <v>81</v>
      </c>
      <c r="B84" s="240"/>
      <c r="C84" s="52">
        <f>SUM(C85:C87)</f>
        <v>324000000</v>
      </c>
      <c r="D84" s="52">
        <f>SUM(D85:D87)</f>
        <v>92157695</v>
      </c>
      <c r="E84" s="1"/>
      <c r="F84" s="1"/>
      <c r="G84" s="123">
        <v>7000</v>
      </c>
      <c r="H84" s="240" t="s">
        <v>134</v>
      </c>
      <c r="I84" s="240"/>
      <c r="J84" s="49"/>
      <c r="K84" s="52">
        <f>SUM(K85:K90)</f>
        <v>159780000</v>
      </c>
      <c r="L84" s="52"/>
    </row>
    <row r="85" spans="1:12" ht="15">
      <c r="A85" s="50">
        <v>6501</v>
      </c>
      <c r="B85" s="51" t="s">
        <v>82</v>
      </c>
      <c r="C85" s="122">
        <v>264000000</v>
      </c>
      <c r="D85" s="122">
        <v>70930755</v>
      </c>
      <c r="E85" s="1"/>
      <c r="F85" s="1"/>
      <c r="G85" s="151"/>
      <c r="H85" s="50">
        <v>7001</v>
      </c>
      <c r="I85" s="51" t="s">
        <v>135</v>
      </c>
      <c r="J85" s="51" t="s">
        <v>136</v>
      </c>
      <c r="K85" s="38">
        <v>30000000</v>
      </c>
      <c r="L85" s="38"/>
    </row>
    <row r="86" spans="1:12" ht="15">
      <c r="A86" s="50">
        <v>6502</v>
      </c>
      <c r="B86" s="51" t="s">
        <v>343</v>
      </c>
      <c r="C86" s="122"/>
      <c r="D86" s="122">
        <v>1226940</v>
      </c>
      <c r="E86" s="1"/>
      <c r="F86" s="1"/>
      <c r="G86" s="151"/>
      <c r="H86" s="50"/>
      <c r="I86" s="51"/>
      <c r="J86" s="51"/>
      <c r="K86" s="38"/>
      <c r="L86" s="38"/>
    </row>
    <row r="87" spans="1:12" ht="15">
      <c r="A87" s="50">
        <v>6504</v>
      </c>
      <c r="B87" s="51" t="s">
        <v>84</v>
      </c>
      <c r="C87" s="122">
        <v>60000000</v>
      </c>
      <c r="D87" s="122">
        <v>20000000</v>
      </c>
      <c r="E87" s="1"/>
      <c r="F87" s="1"/>
      <c r="G87" s="98"/>
      <c r="H87" s="50">
        <v>7004</v>
      </c>
      <c r="I87" s="55" t="s">
        <v>137</v>
      </c>
      <c r="J87" s="55" t="s">
        <v>138</v>
      </c>
      <c r="K87" s="40">
        <v>3780000</v>
      </c>
      <c r="L87" s="64"/>
    </row>
    <row r="88" spans="1:12" ht="15">
      <c r="A88" s="240" t="s">
        <v>86</v>
      </c>
      <c r="B88" s="240"/>
      <c r="C88" s="52">
        <f>SUM(C89:C93)</f>
        <v>270000000</v>
      </c>
      <c r="D88" s="52">
        <f>SUM(D89:D93)</f>
        <v>99317000</v>
      </c>
      <c r="E88" s="1"/>
      <c r="F88" s="1"/>
      <c r="G88" s="120"/>
      <c r="H88" s="50">
        <v>7049</v>
      </c>
      <c r="I88" s="51" t="s">
        <v>139</v>
      </c>
      <c r="J88" s="55" t="s">
        <v>140</v>
      </c>
      <c r="K88" s="39">
        <v>72000000</v>
      </c>
      <c r="L88" s="64"/>
    </row>
    <row r="89" spans="1:12" ht="15">
      <c r="A89" s="50">
        <v>6551</v>
      </c>
      <c r="B89" s="59" t="s">
        <v>87</v>
      </c>
      <c r="C89" s="122">
        <v>60000000</v>
      </c>
      <c r="D89" s="122">
        <v>12843000</v>
      </c>
      <c r="E89" s="1"/>
      <c r="F89" s="1"/>
      <c r="G89" s="120"/>
      <c r="H89" s="50">
        <v>7049</v>
      </c>
      <c r="I89" s="51" t="s">
        <v>49</v>
      </c>
      <c r="J89" s="55" t="s">
        <v>141</v>
      </c>
      <c r="K89" s="40">
        <v>18000000</v>
      </c>
      <c r="L89" s="64"/>
    </row>
    <row r="90" spans="1:12" ht="15">
      <c r="A90" s="50">
        <v>6552</v>
      </c>
      <c r="B90" s="59" t="s">
        <v>89</v>
      </c>
      <c r="C90" s="137">
        <v>60000000</v>
      </c>
      <c r="D90" s="137">
        <v>55000000</v>
      </c>
      <c r="E90" s="1"/>
      <c r="F90" s="118"/>
      <c r="G90" s="151"/>
      <c r="H90" s="50">
        <v>7049</v>
      </c>
      <c r="I90" s="51" t="s">
        <v>142</v>
      </c>
      <c r="J90" s="51" t="s">
        <v>143</v>
      </c>
      <c r="K90" s="41">
        <v>36000000</v>
      </c>
      <c r="L90" s="38"/>
    </row>
    <row r="91" spans="1:12" ht="16.5">
      <c r="A91" s="50">
        <v>6552</v>
      </c>
      <c r="B91" s="59" t="s">
        <v>297</v>
      </c>
      <c r="C91" s="63">
        <v>90000000</v>
      </c>
      <c r="D91" s="63"/>
      <c r="E91" s="1"/>
      <c r="F91" s="118"/>
      <c r="G91" s="151"/>
      <c r="H91" s="50"/>
      <c r="I91" s="51"/>
      <c r="J91" s="51"/>
      <c r="K91" s="41"/>
      <c r="L91" s="38"/>
    </row>
    <row r="92" spans="1:12" ht="16.5">
      <c r="A92" s="50">
        <v>6552</v>
      </c>
      <c r="B92" s="138" t="s">
        <v>298</v>
      </c>
      <c r="C92" s="63">
        <v>30000000</v>
      </c>
      <c r="D92" s="63"/>
      <c r="E92" s="1"/>
      <c r="F92" s="10"/>
      <c r="G92" s="123">
        <v>7050</v>
      </c>
      <c r="H92" s="240" t="s">
        <v>144</v>
      </c>
      <c r="I92" s="240"/>
      <c r="J92" s="49"/>
      <c r="K92" s="52">
        <v>10000000</v>
      </c>
      <c r="L92" s="52"/>
    </row>
    <row r="93" spans="1:12" ht="37.5" customHeight="1">
      <c r="A93" s="50">
        <v>6599</v>
      </c>
      <c r="B93" s="59" t="s">
        <v>93</v>
      </c>
      <c r="C93" s="122">
        <v>30000000</v>
      </c>
      <c r="D93" s="122">
        <v>31474000</v>
      </c>
      <c r="E93" s="1"/>
      <c r="F93" s="1"/>
      <c r="G93" s="151"/>
      <c r="H93" s="50">
        <v>7053</v>
      </c>
      <c r="I93" s="66" t="s">
        <v>145</v>
      </c>
      <c r="J93" s="66" t="s">
        <v>146</v>
      </c>
      <c r="K93" s="38">
        <v>10000000</v>
      </c>
      <c r="L93" s="38"/>
    </row>
    <row r="94" spans="1:12" ht="14.25">
      <c r="A94" s="240" t="s">
        <v>95</v>
      </c>
      <c r="B94" s="240"/>
      <c r="C94" s="52">
        <f>SUM(C95:C97)</f>
        <v>15216000</v>
      </c>
      <c r="D94" s="52">
        <f>SUM(D95:D97)</f>
        <v>5973627</v>
      </c>
      <c r="E94" s="1"/>
      <c r="F94" s="1"/>
      <c r="G94" s="243" t="s">
        <v>147</v>
      </c>
      <c r="H94" s="244"/>
      <c r="I94" s="244"/>
      <c r="J94" s="67"/>
      <c r="K94" s="68">
        <f>SUM(K95:K101)</f>
        <v>79666000</v>
      </c>
      <c r="L94" s="57"/>
    </row>
    <row r="95" spans="1:12" ht="15">
      <c r="A95" s="50">
        <v>6601</v>
      </c>
      <c r="B95" s="59" t="s">
        <v>96</v>
      </c>
      <c r="C95" s="122">
        <v>3600000</v>
      </c>
      <c r="D95" s="122">
        <v>165627</v>
      </c>
      <c r="E95" s="1"/>
      <c r="F95" s="1"/>
      <c r="G95" s="123">
        <v>7750</v>
      </c>
      <c r="H95" s="50"/>
      <c r="I95" s="65" t="s">
        <v>49</v>
      </c>
      <c r="J95" s="65"/>
      <c r="K95" s="69"/>
      <c r="L95" s="38"/>
    </row>
    <row r="96" spans="1:12" ht="15">
      <c r="A96" s="50">
        <v>6605</v>
      </c>
      <c r="B96" s="59" t="s">
        <v>98</v>
      </c>
      <c r="C96" s="122">
        <v>6816000</v>
      </c>
      <c r="D96" s="122">
        <v>3408000</v>
      </c>
      <c r="E96" s="1"/>
      <c r="F96" s="1"/>
      <c r="G96" s="123"/>
      <c r="H96" s="50">
        <v>7756</v>
      </c>
      <c r="I96" s="42" t="s">
        <v>46</v>
      </c>
      <c r="J96" s="42" t="s">
        <v>148</v>
      </c>
      <c r="K96" s="38">
        <v>1800000</v>
      </c>
      <c r="L96" s="38"/>
    </row>
    <row r="97" spans="1:12" ht="15">
      <c r="A97" s="50">
        <v>6618</v>
      </c>
      <c r="B97" s="59" t="s">
        <v>100</v>
      </c>
      <c r="C97" s="122">
        <v>4800000</v>
      </c>
      <c r="D97" s="122">
        <v>2400000</v>
      </c>
      <c r="E97" s="1"/>
      <c r="F97" s="1"/>
      <c r="G97" s="123"/>
      <c r="H97" s="50">
        <v>7761</v>
      </c>
      <c r="I97" s="42" t="s">
        <v>47</v>
      </c>
      <c r="J97" s="42" t="s">
        <v>149</v>
      </c>
      <c r="K97" s="38">
        <v>6000000</v>
      </c>
      <c r="L97" s="38"/>
    </row>
    <row r="98" spans="1:12" ht="15">
      <c r="A98" s="240" t="s">
        <v>102</v>
      </c>
      <c r="B98" s="240"/>
      <c r="C98" s="52">
        <f>SUM(C99:C100)</f>
        <v>0</v>
      </c>
      <c r="D98" s="52">
        <f>SUM(D99:D100)</f>
        <v>0</v>
      </c>
      <c r="E98" s="2"/>
      <c r="F98" s="2"/>
      <c r="G98" s="120"/>
      <c r="H98" s="50">
        <v>7764</v>
      </c>
      <c r="I98" s="42" t="s">
        <v>48</v>
      </c>
      <c r="J98" s="42" t="s">
        <v>150</v>
      </c>
      <c r="K98" s="39">
        <v>13600000</v>
      </c>
      <c r="L98" s="64"/>
    </row>
    <row r="99" spans="1:12" ht="15">
      <c r="A99" s="50">
        <v>6657</v>
      </c>
      <c r="B99" s="59" t="s">
        <v>103</v>
      </c>
      <c r="C99" s="122"/>
      <c r="D99" s="122"/>
      <c r="E99" s="1"/>
      <c r="F99" s="1"/>
      <c r="G99" s="120"/>
      <c r="H99" s="50">
        <v>7764</v>
      </c>
      <c r="I99" s="42" t="s">
        <v>48</v>
      </c>
      <c r="J99" s="42" t="s">
        <v>151</v>
      </c>
      <c r="K99" s="39">
        <v>22266000</v>
      </c>
      <c r="L99" s="64"/>
    </row>
    <row r="100" spans="1:12" s="3" customFormat="1" ht="15">
      <c r="A100" s="50">
        <v>6699</v>
      </c>
      <c r="B100" s="51" t="s">
        <v>104</v>
      </c>
      <c r="C100" s="122"/>
      <c r="D100" s="122"/>
      <c r="E100" s="1"/>
      <c r="F100" s="1"/>
      <c r="G100" s="98"/>
      <c r="H100" s="50">
        <v>7799</v>
      </c>
      <c r="I100" s="42" t="s">
        <v>49</v>
      </c>
      <c r="J100" s="42" t="s">
        <v>152</v>
      </c>
      <c r="K100" s="40">
        <v>30000000</v>
      </c>
      <c r="L100" s="64"/>
    </row>
    <row r="101" spans="1:12" ht="15">
      <c r="A101" s="240" t="s">
        <v>105</v>
      </c>
      <c r="B101" s="240"/>
      <c r="C101" s="52">
        <f>SUM(C102:C105)</f>
        <v>78948000</v>
      </c>
      <c r="D101" s="52">
        <f>SUM(D102:D105)</f>
        <v>41889232</v>
      </c>
      <c r="E101" s="1"/>
      <c r="F101" s="1"/>
      <c r="G101" s="120"/>
      <c r="H101" s="50">
        <v>7799</v>
      </c>
      <c r="I101" s="42" t="s">
        <v>49</v>
      </c>
      <c r="J101" s="42" t="s">
        <v>153</v>
      </c>
      <c r="K101" s="39">
        <v>6000000</v>
      </c>
      <c r="L101" s="64"/>
    </row>
    <row r="102" spans="1:12" ht="15">
      <c r="A102" s="50">
        <v>6701</v>
      </c>
      <c r="B102" s="51" t="s">
        <v>106</v>
      </c>
      <c r="C102" s="122">
        <v>30000000</v>
      </c>
      <c r="D102" s="122">
        <v>15689232</v>
      </c>
      <c r="E102" s="1"/>
      <c r="F102" s="1"/>
      <c r="G102" s="120">
        <v>7850</v>
      </c>
      <c r="H102" s="50"/>
      <c r="I102" s="70" t="s">
        <v>154</v>
      </c>
      <c r="J102" s="42"/>
      <c r="K102" s="52">
        <v>600000</v>
      </c>
      <c r="L102" s="64"/>
    </row>
    <row r="103" spans="1:12" ht="15">
      <c r="A103" s="50">
        <v>6702</v>
      </c>
      <c r="B103" s="51" t="s">
        <v>108</v>
      </c>
      <c r="C103" s="122">
        <v>30948000</v>
      </c>
      <c r="D103" s="122">
        <v>20200000</v>
      </c>
      <c r="E103" s="2"/>
      <c r="F103" s="2"/>
      <c r="G103" s="120"/>
      <c r="H103" s="50">
        <v>7899</v>
      </c>
      <c r="I103" s="42" t="s">
        <v>155</v>
      </c>
      <c r="J103" s="42" t="s">
        <v>156</v>
      </c>
      <c r="K103" s="38">
        <v>600000</v>
      </c>
      <c r="L103" s="64"/>
    </row>
    <row r="104" spans="1:12" ht="15">
      <c r="A104" s="50">
        <v>6703</v>
      </c>
      <c r="B104" s="51" t="s">
        <v>110</v>
      </c>
      <c r="C104" s="122">
        <v>6000000</v>
      </c>
      <c r="D104" s="122"/>
      <c r="E104" s="1"/>
      <c r="F104" s="1"/>
      <c r="G104" s="123" t="s">
        <v>157</v>
      </c>
      <c r="H104" s="50"/>
      <c r="I104" s="71" t="s">
        <v>158</v>
      </c>
      <c r="J104" s="42"/>
      <c r="K104" s="72" t="s">
        <v>159</v>
      </c>
      <c r="L104" s="64"/>
    </row>
    <row r="105" spans="1:12" s="3" customFormat="1" ht="15">
      <c r="A105" s="50">
        <v>6704</v>
      </c>
      <c r="B105" s="59" t="s">
        <v>112</v>
      </c>
      <c r="C105" s="122">
        <v>12000000</v>
      </c>
      <c r="D105" s="122">
        <v>6000000</v>
      </c>
      <c r="E105" s="1"/>
      <c r="F105" s="1"/>
      <c r="G105" s="123"/>
      <c r="H105" s="50"/>
      <c r="I105" s="65" t="s">
        <v>160</v>
      </c>
      <c r="J105" s="65" t="s">
        <v>161</v>
      </c>
      <c r="K105" s="73">
        <v>98000000</v>
      </c>
      <c r="L105" s="38"/>
    </row>
    <row r="106" spans="1:12" ht="15.75">
      <c r="A106" s="240" t="s">
        <v>114</v>
      </c>
      <c r="B106" s="240"/>
      <c r="C106" s="52">
        <f>SUM(C107:C110)</f>
        <v>318000000</v>
      </c>
      <c r="D106" s="52">
        <f>SUM(D107:D110)</f>
        <v>238356395</v>
      </c>
      <c r="E106" s="1"/>
      <c r="F106" s="1"/>
      <c r="G106" s="152"/>
      <c r="H106" s="74"/>
      <c r="I106" s="74" t="s">
        <v>162</v>
      </c>
      <c r="J106" s="74"/>
      <c r="K106" s="75">
        <f>K12+K105</f>
        <v>98000000</v>
      </c>
      <c r="L106" s="76"/>
    </row>
    <row r="107" spans="1:12" ht="15.75">
      <c r="A107" s="50">
        <v>6751</v>
      </c>
      <c r="B107" s="51" t="s">
        <v>115</v>
      </c>
      <c r="C107" s="38">
        <v>18000000</v>
      </c>
      <c r="D107" s="38">
        <v>7300000</v>
      </c>
      <c r="E107" s="1"/>
      <c r="F107" s="1"/>
      <c r="G107" s="152"/>
      <c r="H107" s="74"/>
      <c r="I107" s="74" t="s">
        <v>163</v>
      </c>
      <c r="J107" s="74"/>
      <c r="K107" s="75">
        <f>K8+K106</f>
        <v>98000000</v>
      </c>
      <c r="L107" s="76"/>
    </row>
    <row r="108" spans="1:11" ht="21" customHeight="1">
      <c r="A108" s="50">
        <v>6757</v>
      </c>
      <c r="B108" s="55" t="s">
        <v>117</v>
      </c>
      <c r="C108" s="39">
        <v>40000000</v>
      </c>
      <c r="D108" s="39">
        <v>134256395</v>
      </c>
      <c r="E108" s="1"/>
      <c r="F108" s="1"/>
      <c r="G108" s="153"/>
      <c r="H108" s="78"/>
      <c r="I108" s="77" t="s">
        <v>164</v>
      </c>
      <c r="J108" s="77" t="s">
        <v>165</v>
      </c>
      <c r="K108" s="79">
        <f>SUM(K109:K129)</f>
        <v>104000000</v>
      </c>
    </row>
    <row r="109" spans="1:11" ht="21.75" customHeight="1">
      <c r="A109" s="50">
        <v>6758</v>
      </c>
      <c r="B109" s="55" t="s">
        <v>120</v>
      </c>
      <c r="C109" s="39">
        <v>30000000</v>
      </c>
      <c r="D109" s="39"/>
      <c r="E109" s="1"/>
      <c r="F109" s="1"/>
      <c r="G109" s="153">
        <v>6550</v>
      </c>
      <c r="H109" s="50">
        <v>6599</v>
      </c>
      <c r="I109" s="80" t="s">
        <v>166</v>
      </c>
      <c r="J109" s="80" t="s">
        <v>167</v>
      </c>
      <c r="K109" s="37">
        <v>11200000</v>
      </c>
    </row>
    <row r="110" spans="1:11" ht="22.5" customHeight="1">
      <c r="A110" s="121">
        <v>6799</v>
      </c>
      <c r="B110" s="139" t="s">
        <v>299</v>
      </c>
      <c r="C110" s="38">
        <v>230000000</v>
      </c>
      <c r="D110" s="38">
        <v>96800000</v>
      </c>
      <c r="E110" s="1"/>
      <c r="F110" s="1"/>
      <c r="G110" s="153"/>
      <c r="H110" s="50">
        <v>6599</v>
      </c>
      <c r="I110" s="81" t="s">
        <v>168</v>
      </c>
      <c r="J110" s="80" t="s">
        <v>169</v>
      </c>
      <c r="K110" s="37">
        <v>399000</v>
      </c>
    </row>
    <row r="111" spans="1:11" ht="19.5" customHeight="1">
      <c r="A111" s="240" t="s">
        <v>124</v>
      </c>
      <c r="B111" s="240"/>
      <c r="C111" s="52">
        <f>SUM(C112:C116)</f>
        <v>323600000</v>
      </c>
      <c r="D111" s="52">
        <f>SUM(D112:D116)</f>
        <v>50779500</v>
      </c>
      <c r="E111" s="1"/>
      <c r="F111" s="117"/>
      <c r="G111" s="153"/>
      <c r="H111" s="50">
        <v>6599</v>
      </c>
      <c r="I111" s="81" t="s">
        <v>170</v>
      </c>
      <c r="J111" s="80" t="s">
        <v>171</v>
      </c>
      <c r="K111" s="37">
        <v>15000000</v>
      </c>
    </row>
    <row r="112" spans="1:11" ht="21" customHeight="1">
      <c r="A112" s="50">
        <v>6907</v>
      </c>
      <c r="B112" s="51" t="s">
        <v>125</v>
      </c>
      <c r="C112" s="122">
        <v>40000000</v>
      </c>
      <c r="D112" s="122"/>
      <c r="E112" s="1"/>
      <c r="F112" s="1"/>
      <c r="G112" s="153"/>
      <c r="H112" s="50">
        <v>6599</v>
      </c>
      <c r="I112" s="81" t="s">
        <v>172</v>
      </c>
      <c r="J112" s="80" t="s">
        <v>173</v>
      </c>
      <c r="K112" s="37">
        <v>4000000</v>
      </c>
    </row>
    <row r="113" spans="1:11" ht="19.5" customHeight="1">
      <c r="A113" s="50">
        <v>6912</v>
      </c>
      <c r="B113" s="51" t="s">
        <v>127</v>
      </c>
      <c r="C113" s="122">
        <v>22000000</v>
      </c>
      <c r="D113" s="122">
        <v>8602000</v>
      </c>
      <c r="E113" s="1"/>
      <c r="F113" s="1"/>
      <c r="G113" s="153"/>
      <c r="H113" s="50">
        <v>6599</v>
      </c>
      <c r="I113" s="81" t="s">
        <v>174</v>
      </c>
      <c r="J113" s="80" t="s">
        <v>175</v>
      </c>
      <c r="K113" s="37">
        <v>2000000</v>
      </c>
    </row>
    <row r="114" spans="1:11" ht="19.5" customHeight="1">
      <c r="A114" s="50">
        <v>6913</v>
      </c>
      <c r="B114" s="51" t="s">
        <v>129</v>
      </c>
      <c r="C114" s="122">
        <v>30000000</v>
      </c>
      <c r="D114" s="122"/>
      <c r="E114" s="1"/>
      <c r="F114" s="1"/>
      <c r="G114" s="153"/>
      <c r="H114" s="50">
        <v>6599</v>
      </c>
      <c r="I114" s="81" t="s">
        <v>176</v>
      </c>
      <c r="J114" s="80" t="s">
        <v>177</v>
      </c>
      <c r="K114" s="37">
        <v>2000000</v>
      </c>
    </row>
    <row r="115" spans="1:11" ht="19.5" customHeight="1">
      <c r="A115" s="50">
        <v>6921</v>
      </c>
      <c r="B115" s="51" t="s">
        <v>130</v>
      </c>
      <c r="C115" s="122">
        <v>116000000</v>
      </c>
      <c r="D115" s="122"/>
      <c r="E115" s="1"/>
      <c r="F115" s="1"/>
      <c r="G115" s="153"/>
      <c r="H115" s="50">
        <v>6599</v>
      </c>
      <c r="I115" s="81" t="s">
        <v>178</v>
      </c>
      <c r="J115" s="80" t="s">
        <v>179</v>
      </c>
      <c r="K115" s="37">
        <v>750000</v>
      </c>
    </row>
    <row r="116" spans="1:11" ht="19.5" customHeight="1">
      <c r="A116" s="50">
        <v>6949</v>
      </c>
      <c r="B116" s="51" t="s">
        <v>132</v>
      </c>
      <c r="C116" s="122">
        <f>99600000+16000000</f>
        <v>115600000</v>
      </c>
      <c r="D116" s="122">
        <f>22625000+19552500</f>
        <v>42177500</v>
      </c>
      <c r="E116" s="10"/>
      <c r="F116" s="118"/>
      <c r="G116" s="153"/>
      <c r="H116" s="50">
        <v>6599</v>
      </c>
      <c r="I116" s="81" t="s">
        <v>180</v>
      </c>
      <c r="J116" s="80" t="s">
        <v>181</v>
      </c>
      <c r="K116" s="37">
        <v>2250000</v>
      </c>
    </row>
    <row r="117" spans="1:11" ht="19.5" customHeight="1">
      <c r="A117" s="240" t="s">
        <v>134</v>
      </c>
      <c r="B117" s="240"/>
      <c r="C117" s="52">
        <f>SUM(C118:C122)</f>
        <v>189780000</v>
      </c>
      <c r="D117" s="52">
        <f>SUM(D118:D122)</f>
        <v>55580000</v>
      </c>
      <c r="E117" s="1"/>
      <c r="F117" s="1"/>
      <c r="G117" s="153"/>
      <c r="H117" s="50">
        <v>6599</v>
      </c>
      <c r="I117" s="81" t="s">
        <v>182</v>
      </c>
      <c r="J117" s="80" t="s">
        <v>183</v>
      </c>
      <c r="K117" s="37">
        <v>1000000</v>
      </c>
    </row>
    <row r="118" spans="1:11" ht="19.5" customHeight="1">
      <c r="A118" s="50">
        <v>7001</v>
      </c>
      <c r="B118" s="51" t="s">
        <v>135</v>
      </c>
      <c r="C118" s="38">
        <v>60000000</v>
      </c>
      <c r="D118" s="38">
        <v>16330000</v>
      </c>
      <c r="E118" s="1"/>
      <c r="F118" s="1"/>
      <c r="G118" s="153"/>
      <c r="H118" s="50"/>
      <c r="I118" s="81"/>
      <c r="J118" s="80"/>
      <c r="K118" s="37"/>
    </row>
    <row r="119" spans="1:11" ht="19.5" customHeight="1">
      <c r="A119" s="50">
        <v>7004</v>
      </c>
      <c r="B119" s="55" t="s">
        <v>300</v>
      </c>
      <c r="C119" s="40">
        <v>3780000</v>
      </c>
      <c r="D119" s="40">
        <v>3780000</v>
      </c>
      <c r="E119" s="1"/>
      <c r="F119" s="1"/>
      <c r="G119" s="153"/>
      <c r="H119" s="50"/>
      <c r="I119" s="81"/>
      <c r="J119" s="80"/>
      <c r="K119" s="37"/>
    </row>
    <row r="120" spans="1:11" ht="19.5" customHeight="1">
      <c r="A120" s="50">
        <v>7049</v>
      </c>
      <c r="B120" s="51" t="s">
        <v>301</v>
      </c>
      <c r="C120" s="39">
        <v>72000000</v>
      </c>
      <c r="D120" s="39"/>
      <c r="E120" s="1"/>
      <c r="F120" s="1"/>
      <c r="G120" s="153"/>
      <c r="H120" s="50"/>
      <c r="I120" s="81"/>
      <c r="J120" s="80"/>
      <c r="K120" s="37"/>
    </row>
    <row r="121" spans="1:11" ht="19.5" customHeight="1">
      <c r="A121" s="50">
        <v>7049</v>
      </c>
      <c r="B121" s="51" t="s">
        <v>49</v>
      </c>
      <c r="C121" s="40">
        <v>18000000</v>
      </c>
      <c r="D121" s="40"/>
      <c r="E121" s="1"/>
      <c r="F121" s="1"/>
      <c r="G121" s="153"/>
      <c r="H121" s="50"/>
      <c r="I121" s="81"/>
      <c r="J121" s="80"/>
      <c r="K121" s="37"/>
    </row>
    <row r="122" spans="1:11" ht="27.75" customHeight="1">
      <c r="A122" s="50">
        <v>7049</v>
      </c>
      <c r="B122" s="51" t="s">
        <v>142</v>
      </c>
      <c r="C122" s="41">
        <v>36000000</v>
      </c>
      <c r="D122" s="40">
        <v>35470000</v>
      </c>
      <c r="E122" s="1"/>
      <c r="F122" s="1"/>
      <c r="G122" s="153"/>
      <c r="H122" s="50"/>
      <c r="I122" s="81"/>
      <c r="J122" s="80"/>
      <c r="K122" s="37"/>
    </row>
    <row r="123" spans="1:11" ht="19.5" customHeight="1">
      <c r="A123" s="240" t="s">
        <v>144</v>
      </c>
      <c r="B123" s="240"/>
      <c r="C123" s="52">
        <v>10000000</v>
      </c>
      <c r="D123" s="52">
        <f>D124</f>
        <v>9740000</v>
      </c>
      <c r="E123" s="1"/>
      <c r="F123" s="1"/>
      <c r="G123" s="153"/>
      <c r="H123" s="50"/>
      <c r="I123" s="81"/>
      <c r="J123" s="80"/>
      <c r="K123" s="37"/>
    </row>
    <row r="124" spans="1:11" ht="42" customHeight="1">
      <c r="A124" s="50">
        <v>7053</v>
      </c>
      <c r="B124" s="66" t="s">
        <v>145</v>
      </c>
      <c r="C124" s="38">
        <v>10000000</v>
      </c>
      <c r="D124" s="38">
        <v>9740000</v>
      </c>
      <c r="E124" s="1"/>
      <c r="F124" s="1"/>
      <c r="G124" s="153"/>
      <c r="H124" s="50">
        <v>6599</v>
      </c>
      <c r="I124" s="55" t="s">
        <v>184</v>
      </c>
      <c r="J124" s="55" t="s">
        <v>185</v>
      </c>
      <c r="K124" s="64">
        <v>13400000</v>
      </c>
    </row>
    <row r="125" spans="1:11" ht="18.75" customHeight="1">
      <c r="A125" s="144"/>
      <c r="B125" s="144" t="s">
        <v>147</v>
      </c>
      <c r="C125" s="68">
        <f>SUM(C126:C132)</f>
        <v>97666000</v>
      </c>
      <c r="D125" s="68">
        <f>SUM(D126:D132)</f>
        <v>24901400</v>
      </c>
      <c r="E125" s="1"/>
      <c r="F125" s="1"/>
      <c r="G125" s="153"/>
      <c r="H125" s="50">
        <v>6599</v>
      </c>
      <c r="I125" s="55" t="s">
        <v>186</v>
      </c>
      <c r="J125" s="55" t="s">
        <v>187</v>
      </c>
      <c r="K125" s="64">
        <v>3720000</v>
      </c>
    </row>
    <row r="126" spans="1:11" ht="38.25" customHeight="1">
      <c r="A126" s="50"/>
      <c r="B126" s="65" t="s">
        <v>49</v>
      </c>
      <c r="C126" s="69"/>
      <c r="D126" s="69"/>
      <c r="E126" s="1"/>
      <c r="F126" s="1"/>
      <c r="G126" s="153"/>
      <c r="H126" s="50">
        <v>6599</v>
      </c>
      <c r="I126" s="55" t="s">
        <v>188</v>
      </c>
      <c r="J126" s="55" t="s">
        <v>189</v>
      </c>
      <c r="K126" s="64">
        <v>14400000</v>
      </c>
    </row>
    <row r="127" spans="1:11" ht="18.75" customHeight="1">
      <c r="A127" s="50">
        <v>7756</v>
      </c>
      <c r="B127" s="42" t="s">
        <v>46</v>
      </c>
      <c r="C127" s="38">
        <v>2000000</v>
      </c>
      <c r="D127" s="38">
        <v>851400</v>
      </c>
      <c r="E127" s="1"/>
      <c r="F127" s="1"/>
      <c r="G127" s="153"/>
      <c r="H127" s="50">
        <v>6599</v>
      </c>
      <c r="I127" s="80" t="s">
        <v>190</v>
      </c>
      <c r="J127" s="82" t="s">
        <v>191</v>
      </c>
      <c r="K127" s="41">
        <v>6800000</v>
      </c>
    </row>
    <row r="128" spans="1:11" ht="18.75" customHeight="1">
      <c r="A128" s="50">
        <v>7761</v>
      </c>
      <c r="B128" s="42" t="s">
        <v>47</v>
      </c>
      <c r="C128" s="38">
        <v>6000000</v>
      </c>
      <c r="D128" s="38"/>
      <c r="E128" s="1"/>
      <c r="F128" s="1"/>
      <c r="G128" s="153"/>
      <c r="H128" s="50">
        <v>6599</v>
      </c>
      <c r="I128" s="80" t="s">
        <v>192</v>
      </c>
      <c r="J128" s="82"/>
      <c r="K128" s="41">
        <v>1081000</v>
      </c>
    </row>
    <row r="129" spans="1:11" ht="21" customHeight="1">
      <c r="A129" s="50">
        <v>7764</v>
      </c>
      <c r="B129" s="42" t="s">
        <v>302</v>
      </c>
      <c r="C129" s="39">
        <f>400000*36</f>
        <v>14400000</v>
      </c>
      <c r="D129" s="39">
        <v>14400000</v>
      </c>
      <c r="E129" s="1"/>
      <c r="F129" s="1"/>
      <c r="G129" s="153"/>
      <c r="H129" s="50">
        <v>6599</v>
      </c>
      <c r="I129" s="81" t="s">
        <v>193</v>
      </c>
      <c r="J129" s="82" t="s">
        <v>194</v>
      </c>
      <c r="K129" s="63">
        <v>26000000</v>
      </c>
    </row>
    <row r="130" spans="1:11" ht="21" customHeight="1">
      <c r="A130" s="50">
        <v>7764</v>
      </c>
      <c r="B130" s="42" t="s">
        <v>303</v>
      </c>
      <c r="C130" s="39">
        <v>30266000</v>
      </c>
      <c r="D130" s="39"/>
      <c r="E130" s="1"/>
      <c r="F130" s="1"/>
      <c r="G130" s="153"/>
      <c r="H130" s="78"/>
      <c r="I130" s="77" t="s">
        <v>195</v>
      </c>
      <c r="J130" s="77"/>
      <c r="K130" s="79">
        <f>K131+K134</f>
        <v>513991192</v>
      </c>
    </row>
    <row r="131" spans="1:11" ht="85.5" customHeight="1">
      <c r="A131" s="50">
        <v>7799</v>
      </c>
      <c r="B131" s="42" t="s">
        <v>304</v>
      </c>
      <c r="C131" s="40">
        <v>30000000</v>
      </c>
      <c r="D131" s="40">
        <v>9650000</v>
      </c>
      <c r="E131" s="1"/>
      <c r="F131" s="1"/>
      <c r="G131" s="119">
        <v>6750</v>
      </c>
      <c r="H131" s="238" t="s">
        <v>196</v>
      </c>
      <c r="I131" s="239"/>
      <c r="J131" s="46"/>
      <c r="K131" s="48">
        <f>SUM(K132:K133)</f>
        <v>416187200</v>
      </c>
    </row>
    <row r="132" spans="1:11" ht="18" customHeight="1">
      <c r="A132" s="50">
        <v>7799</v>
      </c>
      <c r="B132" s="42" t="s">
        <v>49</v>
      </c>
      <c r="C132" s="39">
        <v>15000000</v>
      </c>
      <c r="D132" s="39"/>
      <c r="E132" s="1"/>
      <c r="F132" s="1"/>
      <c r="G132" s="123"/>
      <c r="H132" s="50">
        <v>6757</v>
      </c>
      <c r="I132" s="51" t="s">
        <v>197</v>
      </c>
      <c r="J132" s="51" t="s">
        <v>198</v>
      </c>
      <c r="K132" s="36">
        <v>416187200</v>
      </c>
    </row>
    <row r="133" spans="1:11" ht="18" customHeight="1">
      <c r="A133" s="50"/>
      <c r="B133" s="70" t="s">
        <v>154</v>
      </c>
      <c r="C133" s="52">
        <v>600000</v>
      </c>
      <c r="D133" s="52">
        <v>600000</v>
      </c>
      <c r="E133" s="1"/>
      <c r="F133" s="1"/>
      <c r="G133" s="123"/>
      <c r="H133" s="50"/>
      <c r="I133" s="51"/>
      <c r="J133" s="51"/>
      <c r="K133" s="36"/>
    </row>
    <row r="134" spans="1:11" ht="18" customHeight="1">
      <c r="A134" s="50">
        <v>7899</v>
      </c>
      <c r="B134" s="42" t="s">
        <v>155</v>
      </c>
      <c r="C134" s="38">
        <v>600000</v>
      </c>
      <c r="D134" s="38"/>
      <c r="E134" s="1"/>
      <c r="F134" s="1"/>
      <c r="G134" s="119">
        <v>6750</v>
      </c>
      <c r="H134" s="238" t="s">
        <v>199</v>
      </c>
      <c r="I134" s="239"/>
      <c r="J134" s="46"/>
      <c r="K134" s="53">
        <f>SUM(K135:K138)</f>
        <v>97803992</v>
      </c>
    </row>
    <row r="135" spans="1:11" ht="18.75" customHeight="1">
      <c r="A135" s="50"/>
      <c r="B135" s="140" t="s">
        <v>270</v>
      </c>
      <c r="C135" s="52">
        <f>C52</f>
        <v>6841177210.18</v>
      </c>
      <c r="D135" s="148">
        <f>D52</f>
        <v>3311327459</v>
      </c>
      <c r="E135" s="1"/>
      <c r="F135" s="1"/>
      <c r="G135" s="123"/>
      <c r="H135" s="50">
        <v>6301</v>
      </c>
      <c r="I135" s="55" t="s">
        <v>66</v>
      </c>
      <c r="J135" s="55" t="s">
        <v>67</v>
      </c>
      <c r="K135" s="36">
        <f>K131*17.5%</f>
        <v>72832760</v>
      </c>
    </row>
    <row r="136" spans="1:11" ht="19.5" customHeight="1">
      <c r="A136" s="95"/>
      <c r="B136" s="141" t="s">
        <v>158</v>
      </c>
      <c r="C136" s="72"/>
      <c r="D136" s="72"/>
      <c r="E136" s="1"/>
      <c r="F136" s="1"/>
      <c r="G136" s="123"/>
      <c r="H136" s="50">
        <v>6302</v>
      </c>
      <c r="I136" s="55" t="s">
        <v>200</v>
      </c>
      <c r="J136" s="55" t="s">
        <v>69</v>
      </c>
      <c r="K136" s="36">
        <f>K131*3%</f>
        <v>12485616</v>
      </c>
    </row>
    <row r="137" spans="1:11" ht="20.25" customHeight="1">
      <c r="A137" s="50"/>
      <c r="B137" s="71"/>
      <c r="C137" s="72"/>
      <c r="D137" s="72"/>
      <c r="E137" s="1"/>
      <c r="F137" s="1"/>
      <c r="G137" s="123"/>
      <c r="H137" s="50">
        <v>6303</v>
      </c>
      <c r="I137" s="55" t="s">
        <v>201</v>
      </c>
      <c r="J137" s="55" t="s">
        <v>71</v>
      </c>
      <c r="K137" s="36">
        <f>K131*2%</f>
        <v>8323744</v>
      </c>
    </row>
    <row r="138" spans="1:11" ht="20.25" customHeight="1">
      <c r="A138" s="50"/>
      <c r="B138" s="71"/>
      <c r="C138" s="72"/>
      <c r="D138" s="72"/>
      <c r="E138" s="10"/>
      <c r="F138" s="117"/>
      <c r="G138" s="123"/>
      <c r="H138" s="50">
        <v>6304</v>
      </c>
      <c r="I138" s="83" t="s">
        <v>202</v>
      </c>
      <c r="J138" s="55" t="s">
        <v>73</v>
      </c>
      <c r="K138" s="36">
        <f>K132*1%</f>
        <v>4161872</v>
      </c>
    </row>
    <row r="139" spans="1:11" ht="15">
      <c r="A139" s="50"/>
      <c r="B139" s="65" t="s">
        <v>160</v>
      </c>
      <c r="C139" s="73">
        <v>129827894</v>
      </c>
      <c r="D139" s="73"/>
      <c r="E139" s="1"/>
      <c r="F139" s="1"/>
      <c r="G139" s="120">
        <v>6150</v>
      </c>
      <c r="H139" s="50"/>
      <c r="I139" s="84" t="s">
        <v>203</v>
      </c>
      <c r="J139" s="84"/>
      <c r="K139" s="85">
        <f>K156</f>
        <v>13500000</v>
      </c>
    </row>
    <row r="140" spans="1:11" ht="15">
      <c r="A140" s="50"/>
      <c r="B140" s="65" t="s">
        <v>305</v>
      </c>
      <c r="C140" s="73">
        <v>3600000</v>
      </c>
      <c r="D140" s="73"/>
      <c r="E140" s="1"/>
      <c r="F140" s="1"/>
      <c r="G140" s="120"/>
      <c r="H140" s="50"/>
      <c r="I140" s="84"/>
      <c r="J140" s="84"/>
      <c r="K140" s="85"/>
    </row>
    <row r="141" spans="1:11" ht="15">
      <c r="A141" s="27"/>
      <c r="B141" s="145" t="s">
        <v>51</v>
      </c>
      <c r="C141" s="76">
        <f>SUM(C142:C142)</f>
        <v>41966400</v>
      </c>
      <c r="D141" s="76">
        <f>SUM(D142:D142)</f>
        <v>0</v>
      </c>
      <c r="E141" s="1"/>
      <c r="F141" s="1"/>
      <c r="G141" s="120"/>
      <c r="H141" s="50"/>
      <c r="I141" s="84"/>
      <c r="J141" s="84"/>
      <c r="K141" s="85"/>
    </row>
    <row r="142" spans="1:11" ht="15">
      <c r="A142" s="50">
        <v>6001</v>
      </c>
      <c r="B142" s="51" t="s">
        <v>276</v>
      </c>
      <c r="C142" s="36">
        <f>149.88*280000</f>
        <v>41966400</v>
      </c>
      <c r="D142" s="36"/>
      <c r="E142" s="1"/>
      <c r="F142" s="1"/>
      <c r="G142" s="120"/>
      <c r="H142" s="50"/>
      <c r="I142" s="84"/>
      <c r="J142" s="84"/>
      <c r="K142" s="85"/>
    </row>
    <row r="143" spans="1:11" ht="15">
      <c r="A143" s="240" t="s">
        <v>56</v>
      </c>
      <c r="B143" s="240"/>
      <c r="C143" s="52">
        <f>SUM(C144:C147)</f>
        <v>53373992</v>
      </c>
      <c r="D143" s="52">
        <f>SUM(D144:D147)</f>
        <v>0</v>
      </c>
      <c r="E143" s="1"/>
      <c r="F143" s="1"/>
      <c r="G143" s="120"/>
      <c r="H143" s="50"/>
      <c r="I143" s="84"/>
      <c r="J143" s="84"/>
      <c r="K143" s="85"/>
    </row>
    <row r="144" spans="1:11" ht="15">
      <c r="A144" s="50">
        <v>6101</v>
      </c>
      <c r="B144" s="42" t="s">
        <v>279</v>
      </c>
      <c r="C144" s="36">
        <f>3.6*280000*5</f>
        <v>5040000</v>
      </c>
      <c r="D144" s="36"/>
      <c r="E144" s="1"/>
      <c r="F144" s="1"/>
      <c r="G144" s="120"/>
      <c r="H144" s="50"/>
      <c r="I144" s="84"/>
      <c r="J144" s="84"/>
      <c r="K144" s="85"/>
    </row>
    <row r="145" spans="1:11" ht="15">
      <c r="A145" s="50">
        <v>6112</v>
      </c>
      <c r="B145" s="42" t="s">
        <v>281</v>
      </c>
      <c r="C145" s="36">
        <f>49.9994*280000*3</f>
        <v>41999496</v>
      </c>
      <c r="D145" s="36"/>
      <c r="E145" s="1"/>
      <c r="F145" s="1"/>
      <c r="G145" s="120"/>
      <c r="H145" s="50"/>
      <c r="I145" s="84"/>
      <c r="J145" s="84"/>
      <c r="K145" s="85"/>
    </row>
    <row r="146" spans="1:11" ht="15">
      <c r="A146" s="50">
        <v>6113</v>
      </c>
      <c r="B146" s="42" t="s">
        <v>283</v>
      </c>
      <c r="C146" s="36">
        <f>0.3*280000*12</f>
        <v>1008000</v>
      </c>
      <c r="D146" s="36"/>
      <c r="E146" s="1"/>
      <c r="F146" s="1"/>
      <c r="G146" s="120"/>
      <c r="H146" s="50"/>
      <c r="I146" s="84"/>
      <c r="J146" s="84"/>
      <c r="K146" s="85"/>
    </row>
    <row r="147" spans="1:11" ht="26.25">
      <c r="A147" s="50">
        <v>6115</v>
      </c>
      <c r="B147" s="136" t="s">
        <v>285</v>
      </c>
      <c r="C147" s="36">
        <f>(18.0488+0.9744)*280000</f>
        <v>5326496</v>
      </c>
      <c r="D147" s="36"/>
      <c r="E147" s="1"/>
      <c r="F147" s="1"/>
      <c r="G147" s="120"/>
      <c r="H147" s="50"/>
      <c r="I147" s="84"/>
      <c r="J147" s="84"/>
      <c r="K147" s="85"/>
    </row>
    <row r="148" spans="1:11" ht="15">
      <c r="A148" s="240" t="s">
        <v>286</v>
      </c>
      <c r="B148" s="240"/>
      <c r="C148" s="52">
        <f>SUM(C149:C152)</f>
        <v>12659607.559999999</v>
      </c>
      <c r="D148" s="52">
        <f>SUM(D149:D152)</f>
        <v>0</v>
      </c>
      <c r="E148" s="1"/>
      <c r="F148" s="1"/>
      <c r="G148" s="120"/>
      <c r="H148" s="50"/>
      <c r="I148" s="84"/>
      <c r="J148" s="84"/>
      <c r="K148" s="85"/>
    </row>
    <row r="149" spans="1:11" ht="15">
      <c r="A149" s="50">
        <v>6301</v>
      </c>
      <c r="B149" s="55" t="s">
        <v>291</v>
      </c>
      <c r="C149" s="36">
        <f>(C142+C144+C147)*17.5%</f>
        <v>9158256.799999999</v>
      </c>
      <c r="D149" s="36"/>
      <c r="E149" s="1"/>
      <c r="F149" s="1"/>
      <c r="G149" s="120"/>
      <c r="H149" s="50"/>
      <c r="I149" s="84"/>
      <c r="J149" s="84"/>
      <c r="K149" s="85"/>
    </row>
    <row r="150" spans="1:11" ht="15">
      <c r="A150" s="50">
        <v>6302</v>
      </c>
      <c r="B150" s="55" t="s">
        <v>292</v>
      </c>
      <c r="C150" s="36">
        <f>(C142+C144+C147)*3%</f>
        <v>1569986.88</v>
      </c>
      <c r="D150" s="36"/>
      <c r="E150" s="1"/>
      <c r="F150" s="1"/>
      <c r="G150" s="120"/>
      <c r="H150" s="50"/>
      <c r="I150" s="84"/>
      <c r="J150" s="84"/>
      <c r="K150" s="85"/>
    </row>
    <row r="151" spans="1:11" ht="15">
      <c r="A151" s="50">
        <v>6303</v>
      </c>
      <c r="B151" s="55" t="s">
        <v>293</v>
      </c>
      <c r="C151" s="36">
        <f>(C142+C144+C147)*2%</f>
        <v>1046657.92</v>
      </c>
      <c r="D151" s="36"/>
      <c r="E151" s="1"/>
      <c r="F151" s="1"/>
      <c r="G151" s="120"/>
      <c r="H151" s="50"/>
      <c r="I151" s="84"/>
      <c r="J151" s="84"/>
      <c r="K151" s="85"/>
    </row>
    <row r="152" spans="1:11" ht="15">
      <c r="A152" s="50">
        <v>6304</v>
      </c>
      <c r="B152" s="55" t="s">
        <v>294</v>
      </c>
      <c r="C152" s="36">
        <f>(C142+C144+C147)*1%+361377</f>
        <v>884705.96</v>
      </c>
      <c r="D152" s="36"/>
      <c r="E152" s="1"/>
      <c r="F152" s="1"/>
      <c r="G152" s="120"/>
      <c r="H152" s="50"/>
      <c r="I152" s="84"/>
      <c r="J152" s="84"/>
      <c r="K152" s="85"/>
    </row>
    <row r="153" spans="1:11" ht="19.5">
      <c r="A153" s="50"/>
      <c r="B153" s="142" t="s">
        <v>270</v>
      </c>
      <c r="C153" s="197">
        <f>C141+C143+C148</f>
        <v>107999999.56</v>
      </c>
      <c r="D153" s="143">
        <f>D141+D143+D148</f>
        <v>0</v>
      </c>
      <c r="E153" s="1"/>
      <c r="F153" s="1"/>
      <c r="G153" s="120"/>
      <c r="H153" s="50"/>
      <c r="I153" s="84"/>
      <c r="J153" s="84"/>
      <c r="K153" s="85"/>
    </row>
    <row r="154" spans="1:11" ht="15.75">
      <c r="A154" s="74"/>
      <c r="B154" s="74" t="s">
        <v>306</v>
      </c>
      <c r="C154" s="75">
        <f>C52+C136+C153</f>
        <v>6949177209.740001</v>
      </c>
      <c r="D154" s="75">
        <f>D52+D136+D153</f>
        <v>3311327459</v>
      </c>
      <c r="E154" s="1"/>
      <c r="F154" s="1"/>
      <c r="G154" s="120"/>
      <c r="H154" s="50"/>
      <c r="I154" s="84"/>
      <c r="J154" s="84"/>
      <c r="K154" s="85"/>
    </row>
    <row r="155" spans="1:11" ht="15.75">
      <c r="A155" s="74"/>
      <c r="B155" s="74" t="s">
        <v>163</v>
      </c>
      <c r="C155" s="75">
        <f>ROUND((C48+C154),0)</f>
        <v>9023116680</v>
      </c>
      <c r="D155" s="75">
        <f>ROUND((D48+D154),0)</f>
        <v>4244300272</v>
      </c>
      <c r="E155" s="1"/>
      <c r="F155" s="1"/>
      <c r="G155" s="120"/>
      <c r="H155" s="50"/>
      <c r="I155" s="84"/>
      <c r="J155" s="84"/>
      <c r="K155" s="85"/>
    </row>
    <row r="156" spans="2:11" ht="15.75">
      <c r="B156" s="25"/>
      <c r="D156" s="216" t="s">
        <v>346</v>
      </c>
      <c r="E156" s="216"/>
      <c r="F156" s="216"/>
      <c r="G156" s="98"/>
      <c r="H156" s="50">
        <v>6157</v>
      </c>
      <c r="I156" s="42" t="s">
        <v>204</v>
      </c>
      <c r="J156" s="42" t="s">
        <v>205</v>
      </c>
      <c r="K156" s="64">
        <v>13500000</v>
      </c>
    </row>
    <row r="157" spans="2:11" ht="14.25">
      <c r="B157" s="31" t="s">
        <v>30</v>
      </c>
      <c r="D157" s="205" t="s">
        <v>5</v>
      </c>
      <c r="E157" s="205"/>
      <c r="F157" s="241"/>
      <c r="G157" s="46">
        <v>6400</v>
      </c>
      <c r="H157" s="238" t="s">
        <v>78</v>
      </c>
      <c r="I157" s="239"/>
      <c r="J157" s="46"/>
      <c r="K157" s="85">
        <f>SUM(K158:K164)</f>
        <v>1227848416</v>
      </c>
    </row>
    <row r="158" spans="2:11" ht="15.75">
      <c r="B158" s="7"/>
      <c r="G158" s="46"/>
      <c r="H158" s="86">
        <v>6449</v>
      </c>
      <c r="I158" s="87" t="s">
        <v>139</v>
      </c>
      <c r="J158" s="87" t="s">
        <v>206</v>
      </c>
      <c r="K158" s="64">
        <v>410000000</v>
      </c>
    </row>
    <row r="159" spans="2:11" ht="15.75">
      <c r="B159" s="25"/>
      <c r="G159" s="65"/>
      <c r="H159" s="50">
        <v>6449</v>
      </c>
      <c r="I159" s="87" t="s">
        <v>139</v>
      </c>
      <c r="J159" s="42" t="s">
        <v>207</v>
      </c>
      <c r="K159" s="64">
        <v>14400000</v>
      </c>
    </row>
    <row r="160" spans="2:11" ht="15.75">
      <c r="B160" s="25"/>
      <c r="G160" s="65"/>
      <c r="H160" s="50">
        <v>6449</v>
      </c>
      <c r="I160" s="87" t="s">
        <v>139</v>
      </c>
      <c r="J160" s="42" t="s">
        <v>208</v>
      </c>
      <c r="K160" s="64">
        <v>6000000</v>
      </c>
    </row>
    <row r="161" spans="2:11" ht="15.75">
      <c r="B161" s="25"/>
      <c r="G161" s="65"/>
      <c r="H161" s="50">
        <v>6449</v>
      </c>
      <c r="I161" s="87" t="s">
        <v>139</v>
      </c>
      <c r="J161" s="42" t="s">
        <v>209</v>
      </c>
      <c r="K161" s="64">
        <v>117471600</v>
      </c>
    </row>
    <row r="162" spans="2:11" ht="15.75">
      <c r="B162" s="25"/>
      <c r="G162" s="65"/>
      <c r="H162" s="50">
        <v>6449</v>
      </c>
      <c r="I162" s="87" t="s">
        <v>139</v>
      </c>
      <c r="J162" s="42" t="s">
        <v>210</v>
      </c>
      <c r="K162" s="64">
        <v>9800000</v>
      </c>
    </row>
    <row r="163" spans="2:11" ht="15.75">
      <c r="B163" s="25"/>
      <c r="G163" s="65"/>
      <c r="H163" s="50">
        <v>6449</v>
      </c>
      <c r="I163" s="87" t="s">
        <v>139</v>
      </c>
      <c r="J163" s="42" t="s">
        <v>211</v>
      </c>
      <c r="K163" s="64">
        <v>1800000</v>
      </c>
    </row>
    <row r="164" spans="2:11" ht="15.75">
      <c r="B164" s="99" t="s">
        <v>225</v>
      </c>
      <c r="D164" s="217" t="s">
        <v>23</v>
      </c>
      <c r="E164" s="217"/>
      <c r="F164" s="242"/>
      <c r="G164" s="65"/>
      <c r="H164" s="50">
        <v>6449</v>
      </c>
      <c r="I164" s="87" t="s">
        <v>139</v>
      </c>
      <c r="J164" s="42" t="s">
        <v>212</v>
      </c>
      <c r="K164" s="64">
        <v>668376816</v>
      </c>
    </row>
    <row r="165" spans="2:11" ht="15">
      <c r="B165" s="25"/>
      <c r="G165" s="49">
        <v>6750</v>
      </c>
      <c r="H165" s="240" t="s">
        <v>114</v>
      </c>
      <c r="I165" s="240"/>
      <c r="J165" s="49"/>
      <c r="K165" s="52">
        <f>K166</f>
        <v>40000000</v>
      </c>
    </row>
    <row r="166" spans="2:11" ht="15.75">
      <c r="B166" s="25"/>
      <c r="G166" s="65"/>
      <c r="H166" s="50">
        <v>6758</v>
      </c>
      <c r="I166" s="42" t="s">
        <v>213</v>
      </c>
      <c r="J166" s="42"/>
      <c r="K166" s="88">
        <v>40000000</v>
      </c>
    </row>
    <row r="167" spans="2:11" ht="15">
      <c r="B167" s="25"/>
      <c r="G167" s="49">
        <v>6900</v>
      </c>
      <c r="H167" s="240" t="s">
        <v>124</v>
      </c>
      <c r="I167" s="240"/>
      <c r="J167" s="49"/>
      <c r="K167" s="52">
        <f>K168</f>
        <v>174890992</v>
      </c>
    </row>
    <row r="168" spans="2:11" ht="45">
      <c r="B168" s="25"/>
      <c r="G168" s="50"/>
      <c r="H168" s="50">
        <v>6907</v>
      </c>
      <c r="I168" s="89" t="s">
        <v>214</v>
      </c>
      <c r="J168" s="89" t="s">
        <v>215</v>
      </c>
      <c r="K168" s="37">
        <v>174890992</v>
      </c>
    </row>
    <row r="169" spans="2:11" ht="15.75">
      <c r="B169" s="25"/>
      <c r="G169" s="61">
        <v>7000</v>
      </c>
      <c r="H169" s="50"/>
      <c r="I169" s="61" t="s">
        <v>134</v>
      </c>
      <c r="J169" s="61"/>
      <c r="K169" s="85">
        <f>SUM(K170:K170)</f>
        <v>1200000</v>
      </c>
    </row>
    <row r="170" spans="2:11" ht="15.75">
      <c r="B170" s="25"/>
      <c r="G170" s="65"/>
      <c r="H170" s="50">
        <v>7004</v>
      </c>
      <c r="I170" s="55" t="s">
        <v>137</v>
      </c>
      <c r="J170" s="55" t="s">
        <v>216</v>
      </c>
      <c r="K170" s="64">
        <v>1200000</v>
      </c>
    </row>
    <row r="171" spans="2:11" ht="15.75">
      <c r="B171" s="25"/>
      <c r="G171" s="61">
        <v>7750</v>
      </c>
      <c r="H171" s="50"/>
      <c r="I171" s="61" t="s">
        <v>79</v>
      </c>
      <c r="J171" s="61"/>
      <c r="K171" s="85">
        <f>SUM(K172:K173)</f>
        <v>144000000</v>
      </c>
    </row>
    <row r="172" spans="7:11" ht="15">
      <c r="G172" s="61"/>
      <c r="H172" s="50">
        <v>7757</v>
      </c>
      <c r="I172" s="90" t="s">
        <v>49</v>
      </c>
      <c r="J172" s="90" t="s">
        <v>217</v>
      </c>
      <c r="K172" s="64">
        <v>30000000</v>
      </c>
    </row>
    <row r="173" spans="7:11" ht="15">
      <c r="G173" s="65"/>
      <c r="H173" s="50">
        <v>7799</v>
      </c>
      <c r="I173" s="55" t="s">
        <v>49</v>
      </c>
      <c r="J173" s="55" t="s">
        <v>218</v>
      </c>
      <c r="K173" s="64">
        <v>114000000</v>
      </c>
    </row>
    <row r="174" spans="7:11" ht="29.25">
      <c r="G174" s="61"/>
      <c r="H174" s="50"/>
      <c r="I174" s="91" t="s">
        <v>219</v>
      </c>
      <c r="J174" s="91"/>
      <c r="K174" s="92">
        <f>SUM(K175:K176)</f>
        <v>507000000</v>
      </c>
    </row>
    <row r="175" spans="7:11" ht="16.5">
      <c r="G175" s="61"/>
      <c r="H175" s="50">
        <v>6552</v>
      </c>
      <c r="I175" s="62" t="s">
        <v>220</v>
      </c>
      <c r="J175" s="62" t="s">
        <v>221</v>
      </c>
      <c r="K175" s="63">
        <v>377000000</v>
      </c>
    </row>
    <row r="176" spans="7:11" ht="16.5">
      <c r="G176" s="61"/>
      <c r="H176" s="93">
        <v>6955</v>
      </c>
      <c r="I176" s="62" t="s">
        <v>222</v>
      </c>
      <c r="J176" s="62" t="s">
        <v>223</v>
      </c>
      <c r="K176" s="63">
        <v>130000000</v>
      </c>
    </row>
    <row r="177" spans="7:11" ht="18.75">
      <c r="G177" s="94"/>
      <c r="H177" s="95"/>
      <c r="I177" s="74" t="s">
        <v>224</v>
      </c>
      <c r="J177" s="74"/>
      <c r="K177" s="96">
        <f>K108+K130+K139+K157+K165+K167+K169+K171+K174</f>
        <v>2726430600</v>
      </c>
    </row>
  </sheetData>
  <sheetProtection/>
  <mergeCells count="59">
    <mergeCell ref="A148:B148"/>
    <mergeCell ref="A101:B101"/>
    <mergeCell ref="A106:B106"/>
    <mergeCell ref="A111:B111"/>
    <mergeCell ref="A117:B117"/>
    <mergeCell ref="A123:B123"/>
    <mergeCell ref="A143:B143"/>
    <mergeCell ref="A98:B98"/>
    <mergeCell ref="A18:B18"/>
    <mergeCell ref="A21:B21"/>
    <mergeCell ref="A28:B28"/>
    <mergeCell ref="A39:B39"/>
    <mergeCell ref="A49:A50"/>
    <mergeCell ref="B49:B50"/>
    <mergeCell ref="A79:B79"/>
    <mergeCell ref="D156:F156"/>
    <mergeCell ref="A9:F9"/>
    <mergeCell ref="A11:A12"/>
    <mergeCell ref="B11:B12"/>
    <mergeCell ref="C11:C12"/>
    <mergeCell ref="C49:C50"/>
    <mergeCell ref="A55:B55"/>
    <mergeCell ref="A84:B84"/>
    <mergeCell ref="A88:B88"/>
    <mergeCell ref="A94:B94"/>
    <mergeCell ref="G13:L13"/>
    <mergeCell ref="H15:I15"/>
    <mergeCell ref="H20:I20"/>
    <mergeCell ref="D49:D50"/>
    <mergeCell ref="A60:B60"/>
    <mergeCell ref="A69:B69"/>
    <mergeCell ref="G34:I34"/>
    <mergeCell ref="H39:I39"/>
    <mergeCell ref="C3:F3"/>
    <mergeCell ref="C4:F4"/>
    <mergeCell ref="A5:F5"/>
    <mergeCell ref="A6:F6"/>
    <mergeCell ref="A7:F7"/>
    <mergeCell ref="D11:D12"/>
    <mergeCell ref="E11:E12"/>
    <mergeCell ref="F11:F12"/>
    <mergeCell ref="A8:F8"/>
    <mergeCell ref="H134:I134"/>
    <mergeCell ref="H44:I44"/>
    <mergeCell ref="H47:I47"/>
    <mergeCell ref="H57:I57"/>
    <mergeCell ref="H61:I61"/>
    <mergeCell ref="H66:I66"/>
    <mergeCell ref="H71:I71"/>
    <mergeCell ref="H157:I157"/>
    <mergeCell ref="H165:I165"/>
    <mergeCell ref="H167:I167"/>
    <mergeCell ref="D157:F157"/>
    <mergeCell ref="D164:F164"/>
    <mergeCell ref="H77:I77"/>
    <mergeCell ref="H84:I84"/>
    <mergeCell ref="H92:I92"/>
    <mergeCell ref="G94:I94"/>
    <mergeCell ref="H131:I131"/>
  </mergeCells>
  <printOptions horizontalCentered="1"/>
  <pageMargins left="0" right="0"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N165"/>
  <sheetViews>
    <sheetView zoomScalePageLayoutView="0" workbookViewId="0" topLeftCell="A22">
      <selection activeCell="A9" sqref="A9:F9"/>
    </sheetView>
  </sheetViews>
  <sheetFormatPr defaultColWidth="9.140625" defaultRowHeight="12.75"/>
  <cols>
    <col min="1" max="1" width="6.28125" style="0" customWidth="1"/>
    <col min="2" max="2" width="36.7109375" style="0" customWidth="1"/>
    <col min="3" max="3" width="14.28125" style="0" customWidth="1"/>
    <col min="4" max="4" width="15.00390625" style="0" customWidth="1"/>
    <col min="5" max="5" width="12.28125" style="0" customWidth="1"/>
    <col min="6" max="6" width="12.140625" style="0" customWidth="1"/>
    <col min="7" max="7" width="31.57421875" style="0" customWidth="1"/>
    <col min="10" max="10" width="9.140625" style="0" customWidth="1"/>
    <col min="11" max="11" width="14.8515625" style="27" customWidth="1"/>
    <col min="12" max="12" width="15.421875" style="27" customWidth="1"/>
    <col min="13" max="13" width="14.8515625" style="27" customWidth="1"/>
    <col min="14" max="14" width="15.28125" style="27" customWidth="1"/>
    <col min="15" max="15" width="20.7109375" style="0" customWidth="1"/>
  </cols>
  <sheetData>
    <row r="2" spans="1:6" ht="12.75">
      <c r="A2" s="205" t="s">
        <v>32</v>
      </c>
      <c r="B2" s="205"/>
      <c r="C2" s="205"/>
      <c r="D2" s="205"/>
      <c r="E2" s="205"/>
      <c r="F2" s="205"/>
    </row>
    <row r="3" ht="12.75">
      <c r="B3" s="3"/>
    </row>
    <row r="4" spans="1:4" ht="15.75">
      <c r="A4" s="7" t="s">
        <v>21</v>
      </c>
      <c r="B4" s="7"/>
      <c r="C4" s="7"/>
      <c r="D4" s="3"/>
    </row>
    <row r="5" spans="1:4" ht="15.75">
      <c r="A5" s="7" t="s">
        <v>12</v>
      </c>
      <c r="B5" s="7"/>
      <c r="C5" s="7"/>
      <c r="D5" s="3"/>
    </row>
    <row r="6" ht="12.75">
      <c r="A6" s="3"/>
    </row>
    <row r="7" spans="1:6" ht="18">
      <c r="A7" s="204" t="s">
        <v>14</v>
      </c>
      <c r="B7" s="204"/>
      <c r="C7" s="204"/>
      <c r="D7" s="204"/>
      <c r="E7" s="204"/>
      <c r="F7" s="204"/>
    </row>
    <row r="8" spans="1:6" ht="18">
      <c r="A8" s="204" t="s">
        <v>350</v>
      </c>
      <c r="B8" s="204"/>
      <c r="C8" s="204"/>
      <c r="D8" s="204"/>
      <c r="E8" s="204"/>
      <c r="F8" s="204"/>
    </row>
    <row r="9" spans="1:6" ht="18" customHeight="1">
      <c r="A9" s="260" t="s">
        <v>351</v>
      </c>
      <c r="B9" s="260"/>
      <c r="C9" s="260"/>
      <c r="D9" s="260"/>
      <c r="E9" s="260"/>
      <c r="F9" s="260"/>
    </row>
    <row r="10" spans="1:4" ht="15.75">
      <c r="A10" s="3"/>
      <c r="B10" s="7"/>
      <c r="C10" s="7"/>
      <c r="D10" s="18" t="s">
        <v>24</v>
      </c>
    </row>
    <row r="11" spans="1:6" ht="33" customHeight="1">
      <c r="A11" s="212" t="s">
        <v>0</v>
      </c>
      <c r="B11" s="214" t="s">
        <v>8</v>
      </c>
      <c r="C11" s="247" t="s">
        <v>6</v>
      </c>
      <c r="D11" s="247" t="s">
        <v>13</v>
      </c>
      <c r="E11" s="259" t="s">
        <v>33</v>
      </c>
      <c r="F11" s="259" t="s">
        <v>34</v>
      </c>
    </row>
    <row r="12" spans="1:6" ht="54" customHeight="1">
      <c r="A12" s="213"/>
      <c r="B12" s="215"/>
      <c r="C12" s="248"/>
      <c r="D12" s="248"/>
      <c r="E12" s="259"/>
      <c r="F12" s="259"/>
    </row>
    <row r="13" spans="1:6" ht="12.75">
      <c r="A13" s="13" t="s">
        <v>3</v>
      </c>
      <c r="B13" s="2" t="s">
        <v>4</v>
      </c>
      <c r="C13" s="13"/>
      <c r="D13" s="21"/>
      <c r="E13" s="19"/>
      <c r="F13" s="1"/>
    </row>
    <row r="14" spans="1:6" ht="12.75">
      <c r="A14" s="2">
        <v>3</v>
      </c>
      <c r="B14" s="2" t="s">
        <v>10</v>
      </c>
      <c r="C14" s="13"/>
      <c r="D14" s="21"/>
      <c r="E14" s="1"/>
      <c r="F14" s="1"/>
    </row>
    <row r="15" spans="1:6" ht="14.25">
      <c r="A15" s="78">
        <v>6500</v>
      </c>
      <c r="B15" s="77" t="s">
        <v>254</v>
      </c>
      <c r="C15" s="79">
        <f>SUM(C16:C16)</f>
        <v>7840000</v>
      </c>
      <c r="D15" s="79">
        <f>SUM(D16:D16)</f>
        <v>7840000</v>
      </c>
      <c r="E15" s="28"/>
      <c r="F15" s="1"/>
    </row>
    <row r="16" spans="1:6" ht="90">
      <c r="A16" s="121">
        <v>6599</v>
      </c>
      <c r="B16" s="80" t="s">
        <v>255</v>
      </c>
      <c r="C16" s="122">
        <v>7840000</v>
      </c>
      <c r="D16" s="122">
        <v>7840000</v>
      </c>
      <c r="E16" s="29"/>
      <c r="F16" s="1"/>
    </row>
    <row r="17" spans="1:6" ht="14.25">
      <c r="A17" s="78"/>
      <c r="B17" s="77" t="s">
        <v>195</v>
      </c>
      <c r="C17" s="79">
        <f>C18+C21</f>
        <v>16376100</v>
      </c>
      <c r="D17" s="79">
        <f>D18+D21</f>
        <v>16376100</v>
      </c>
      <c r="E17" s="29"/>
      <c r="F17" s="1"/>
    </row>
    <row r="18" spans="1:6" ht="14.25">
      <c r="A18" s="255" t="s">
        <v>196</v>
      </c>
      <c r="B18" s="256"/>
      <c r="C18" s="124">
        <f>SUM(C19:C20)</f>
        <v>13260000</v>
      </c>
      <c r="D18" s="124">
        <f>SUM(D19:D20)</f>
        <v>13260000</v>
      </c>
      <c r="E18" s="28"/>
      <c r="F18" s="1"/>
    </row>
    <row r="19" spans="1:6" ht="30">
      <c r="A19" s="50">
        <v>6757</v>
      </c>
      <c r="B19" s="97" t="s">
        <v>256</v>
      </c>
      <c r="C19" s="36">
        <v>13260000</v>
      </c>
      <c r="D19" s="36">
        <v>13260000</v>
      </c>
      <c r="E19" s="29"/>
      <c r="F19" s="1"/>
    </row>
    <row r="20" spans="1:6" ht="15">
      <c r="A20" s="50"/>
      <c r="B20" s="51"/>
      <c r="C20" s="36"/>
      <c r="D20" s="36"/>
      <c r="E20" s="29"/>
      <c r="F20" s="1"/>
    </row>
    <row r="21" spans="1:6" ht="14.25">
      <c r="A21" s="255" t="s">
        <v>199</v>
      </c>
      <c r="B21" s="256"/>
      <c r="C21" s="53">
        <f>SUM(C22:C25)</f>
        <v>3116100</v>
      </c>
      <c r="D21" s="53">
        <f>SUM(D22:D25)</f>
        <v>3116100</v>
      </c>
      <c r="E21" s="29"/>
      <c r="F21" s="1"/>
    </row>
    <row r="22" spans="1:6" ht="15">
      <c r="A22" s="50">
        <v>6301</v>
      </c>
      <c r="B22" s="55" t="s">
        <v>66</v>
      </c>
      <c r="C22" s="36">
        <v>2320500</v>
      </c>
      <c r="D22" s="36">
        <v>2320500</v>
      </c>
      <c r="E22" s="29"/>
      <c r="F22" s="1"/>
    </row>
    <row r="23" spans="1:6" ht="15">
      <c r="A23" s="50">
        <v>6302</v>
      </c>
      <c r="B23" s="55" t="s">
        <v>200</v>
      </c>
      <c r="C23" s="36">
        <v>397800</v>
      </c>
      <c r="D23" s="36">
        <v>397800</v>
      </c>
      <c r="E23" s="29"/>
      <c r="F23" s="1"/>
    </row>
    <row r="24" spans="1:6" ht="15">
      <c r="A24" s="50">
        <v>6303</v>
      </c>
      <c r="B24" s="55" t="s">
        <v>201</v>
      </c>
      <c r="C24" s="36">
        <v>265200</v>
      </c>
      <c r="D24" s="36">
        <v>265200</v>
      </c>
      <c r="E24" s="28"/>
      <c r="F24" s="1"/>
    </row>
    <row r="25" spans="1:6" ht="15">
      <c r="A25" s="50">
        <v>6304</v>
      </c>
      <c r="B25" s="83" t="s">
        <v>202</v>
      </c>
      <c r="C25" s="36">
        <v>132600</v>
      </c>
      <c r="D25" s="36">
        <v>132600</v>
      </c>
      <c r="E25" s="29"/>
      <c r="F25" s="1"/>
    </row>
    <row r="26" spans="1:6" ht="15">
      <c r="A26" s="50"/>
      <c r="B26" s="84" t="s">
        <v>203</v>
      </c>
      <c r="C26" s="85">
        <f>C27</f>
        <v>0</v>
      </c>
      <c r="D26" s="85">
        <f>D27</f>
        <v>0</v>
      </c>
      <c r="E26" s="29"/>
      <c r="F26" s="1"/>
    </row>
    <row r="27" spans="1:6" ht="15">
      <c r="A27" s="50">
        <v>6157</v>
      </c>
      <c r="B27" s="42" t="s">
        <v>204</v>
      </c>
      <c r="C27" s="64"/>
      <c r="D27" s="64"/>
      <c r="E27" s="29"/>
      <c r="F27" s="1"/>
    </row>
    <row r="28" spans="1:6" ht="14.25">
      <c r="A28" s="255" t="s">
        <v>78</v>
      </c>
      <c r="B28" s="256"/>
      <c r="C28" s="85">
        <f>SUM(C29:C38)</f>
        <v>725807803</v>
      </c>
      <c r="D28" s="85">
        <f>SUM(D29:D38)</f>
        <v>725807803</v>
      </c>
      <c r="E28" s="29"/>
      <c r="F28" s="1"/>
    </row>
    <row r="29" spans="1:7" ht="15">
      <c r="A29" s="50">
        <v>6449</v>
      </c>
      <c r="B29" s="83" t="s">
        <v>257</v>
      </c>
      <c r="C29" s="64">
        <f>341817317</f>
        <v>341817317</v>
      </c>
      <c r="D29" s="64">
        <f>341817317</f>
        <v>341817317</v>
      </c>
      <c r="E29" s="28"/>
      <c r="F29" s="1"/>
      <c r="G29" s="64">
        <f>341817317</f>
        <v>341817317</v>
      </c>
    </row>
    <row r="30" spans="1:7" ht="30">
      <c r="A30" s="50">
        <v>6449</v>
      </c>
      <c r="B30" s="125" t="s">
        <v>258</v>
      </c>
      <c r="C30" s="64">
        <f>600000*2*3</f>
        <v>3600000</v>
      </c>
      <c r="D30" s="64">
        <f>600000*2*3</f>
        <v>3600000</v>
      </c>
      <c r="E30" s="29"/>
      <c r="F30" s="1"/>
      <c r="G30" s="64">
        <f>600000*2*6</f>
        <v>7200000</v>
      </c>
    </row>
    <row r="31" spans="1:7" ht="30">
      <c r="A31" s="50">
        <v>6449</v>
      </c>
      <c r="B31" s="125" t="s">
        <v>259</v>
      </c>
      <c r="C31" s="64">
        <f>500000*3</f>
        <v>1500000</v>
      </c>
      <c r="D31" s="64">
        <f>500000*3</f>
        <v>1500000</v>
      </c>
      <c r="E31" s="29"/>
      <c r="F31" s="1"/>
      <c r="G31" s="64">
        <f>500000*6</f>
        <v>3000000</v>
      </c>
    </row>
    <row r="32" spans="1:7" ht="15">
      <c r="A32" s="50">
        <v>6449</v>
      </c>
      <c r="B32" s="83" t="s">
        <v>260</v>
      </c>
      <c r="C32" s="64">
        <f>11675640+590040+7259280+710998+13718430+178800+13718430</f>
        <v>47851618</v>
      </c>
      <c r="D32" s="64">
        <f>11675640+590040+7259280+710998+13718430+178800+13718430</f>
        <v>47851618</v>
      </c>
      <c r="E32" s="1"/>
      <c r="F32" s="1"/>
      <c r="G32" s="64">
        <f>7487250*2+9713310+11675640+590040+7259280+710998+13718430+178800+13718430</f>
        <v>72539428</v>
      </c>
    </row>
    <row r="33" spans="1:7" ht="15">
      <c r="A33" s="50">
        <v>6449</v>
      </c>
      <c r="B33" s="83" t="s">
        <v>261</v>
      </c>
      <c r="C33" s="64"/>
      <c r="D33" s="64"/>
      <c r="E33" s="1"/>
      <c r="F33" s="1"/>
      <c r="G33" s="64"/>
    </row>
    <row r="34" spans="1:7" ht="15">
      <c r="A34" s="50">
        <v>6449</v>
      </c>
      <c r="B34" s="83" t="s">
        <v>262</v>
      </c>
      <c r="C34" s="64"/>
      <c r="D34" s="64"/>
      <c r="E34" s="1"/>
      <c r="F34" s="1"/>
      <c r="G34" s="64"/>
    </row>
    <row r="35" spans="1:7" ht="15">
      <c r="A35" s="50">
        <v>6449</v>
      </c>
      <c r="B35" s="83" t="s">
        <v>263</v>
      </c>
      <c r="C35" s="64"/>
      <c r="D35" s="64"/>
      <c r="E35" s="1"/>
      <c r="F35" s="1"/>
      <c r="G35" s="64"/>
    </row>
    <row r="36" spans="1:7" ht="15">
      <c r="A36" s="50">
        <v>6449</v>
      </c>
      <c r="B36" s="83" t="s">
        <v>264</v>
      </c>
      <c r="C36" s="64">
        <f>2235000*3</f>
        <v>6705000</v>
      </c>
      <c r="D36" s="64">
        <f>2235000*3</f>
        <v>6705000</v>
      </c>
      <c r="E36" s="1"/>
      <c r="F36" s="1"/>
      <c r="G36" s="64">
        <f>2235000*6</f>
        <v>13410000</v>
      </c>
    </row>
    <row r="37" spans="1:7" ht="15">
      <c r="A37" s="50">
        <v>6449</v>
      </c>
      <c r="B37" s="83" t="s">
        <v>265</v>
      </c>
      <c r="C37" s="64">
        <v>324333868</v>
      </c>
      <c r="D37" s="64">
        <v>324333868</v>
      </c>
      <c r="E37" s="1"/>
      <c r="F37" s="1"/>
      <c r="G37" s="64">
        <v>324333868</v>
      </c>
    </row>
    <row r="38" spans="1:7" ht="15">
      <c r="A38" s="50">
        <v>6449</v>
      </c>
      <c r="B38" s="83" t="s">
        <v>266</v>
      </c>
      <c r="C38" s="126"/>
      <c r="D38" s="126"/>
      <c r="E38" s="1"/>
      <c r="F38" s="1"/>
      <c r="G38" s="126"/>
    </row>
    <row r="39" spans="1:6" ht="14.25">
      <c r="A39" s="240" t="s">
        <v>114</v>
      </c>
      <c r="B39" s="240"/>
      <c r="C39" s="52">
        <f>C40</f>
        <v>0</v>
      </c>
      <c r="D39" s="52">
        <f>D40</f>
        <v>0</v>
      </c>
      <c r="E39" s="1"/>
      <c r="F39" s="1"/>
    </row>
    <row r="40" spans="1:6" ht="15">
      <c r="A40" s="50">
        <v>6758</v>
      </c>
      <c r="B40" s="42" t="s">
        <v>213</v>
      </c>
      <c r="C40" s="88"/>
      <c r="D40" s="88"/>
      <c r="E40" s="1"/>
      <c r="F40" s="1"/>
    </row>
    <row r="41" spans="1:6" ht="15">
      <c r="A41" s="50"/>
      <c r="B41" s="61" t="s">
        <v>134</v>
      </c>
      <c r="C41" s="85">
        <f>SUM(C42:C42)</f>
        <v>0</v>
      </c>
      <c r="D41" s="85">
        <f>SUM(D42:D42)</f>
        <v>0</v>
      </c>
      <c r="E41" s="1"/>
      <c r="F41" s="1"/>
    </row>
    <row r="42" spans="1:6" ht="15">
      <c r="A42" s="50">
        <v>7004</v>
      </c>
      <c r="B42" s="55" t="s">
        <v>137</v>
      </c>
      <c r="C42" s="64"/>
      <c r="D42" s="64"/>
      <c r="E42" s="1"/>
      <c r="F42" s="1"/>
    </row>
    <row r="43" spans="1:6" ht="15">
      <c r="A43" s="50"/>
      <c r="B43" s="61" t="s">
        <v>79</v>
      </c>
      <c r="C43" s="85">
        <f>SUM(C44:C45)</f>
        <v>0</v>
      </c>
      <c r="D43" s="85">
        <f>SUM(D44:D45)</f>
        <v>0</v>
      </c>
      <c r="E43" s="1"/>
      <c r="F43" s="1"/>
    </row>
    <row r="44" spans="1:6" ht="15">
      <c r="A44" s="50">
        <v>7757</v>
      </c>
      <c r="B44" s="90" t="s">
        <v>217</v>
      </c>
      <c r="C44" s="64"/>
      <c r="D44" s="64"/>
      <c r="E44" s="1"/>
      <c r="F44" s="1"/>
    </row>
    <row r="45" spans="1:6" ht="15">
      <c r="A45" s="50">
        <v>7799</v>
      </c>
      <c r="B45" s="55" t="s">
        <v>267</v>
      </c>
      <c r="C45" s="64"/>
      <c r="D45" s="64"/>
      <c r="E45" s="1"/>
      <c r="F45" s="1"/>
    </row>
    <row r="46" spans="1:6" ht="15">
      <c r="A46" s="49"/>
      <c r="B46" s="84" t="s">
        <v>268</v>
      </c>
      <c r="C46" s="85">
        <f>C47</f>
        <v>0</v>
      </c>
      <c r="D46" s="85">
        <f>D47</f>
        <v>0</v>
      </c>
      <c r="E46" s="1"/>
      <c r="F46" s="1"/>
    </row>
    <row r="47" spans="1:6" ht="15">
      <c r="A47" s="50">
        <v>8006</v>
      </c>
      <c r="B47" s="55" t="s">
        <v>269</v>
      </c>
      <c r="C47" s="64"/>
      <c r="D47" s="64"/>
      <c r="E47" s="1"/>
      <c r="F47" s="1"/>
    </row>
    <row r="48" spans="1:6" ht="20.25">
      <c r="A48" s="95"/>
      <c r="B48" s="127" t="s">
        <v>270</v>
      </c>
      <c r="C48" s="146">
        <f>C15+C17+C26+C28+C39+C41+C43+C46</f>
        <v>750023903</v>
      </c>
      <c r="D48" s="146">
        <f>D15+D17+D26+D28+D39+D41+D43+D46</f>
        <v>750023903</v>
      </c>
      <c r="E48" s="1"/>
      <c r="F48" s="1"/>
    </row>
    <row r="49" spans="1:6" ht="20.25" customHeight="1">
      <c r="A49" s="257" t="s">
        <v>271</v>
      </c>
      <c r="B49" s="258" t="s">
        <v>272</v>
      </c>
      <c r="C49" s="252" t="s">
        <v>273</v>
      </c>
      <c r="D49" s="252" t="s">
        <v>273</v>
      </c>
      <c r="E49" s="1"/>
      <c r="F49" s="1"/>
    </row>
    <row r="50" spans="1:6" ht="12.75" customHeight="1">
      <c r="A50" s="257"/>
      <c r="B50" s="258"/>
      <c r="C50" s="252"/>
      <c r="D50" s="252"/>
      <c r="E50" s="1"/>
      <c r="F50" s="1"/>
    </row>
    <row r="51" spans="1:6" ht="18">
      <c r="A51" s="129">
        <v>2</v>
      </c>
      <c r="B51" s="128">
        <v>3</v>
      </c>
      <c r="C51" s="130">
        <v>5</v>
      </c>
      <c r="D51" s="130">
        <v>5</v>
      </c>
      <c r="E51" s="8"/>
      <c r="F51" s="8"/>
    </row>
    <row r="52" spans="1:6" ht="14.25">
      <c r="A52" s="132"/>
      <c r="B52" s="131" t="s">
        <v>274</v>
      </c>
      <c r="C52" s="155">
        <f>C54+C78</f>
        <v>1803134760</v>
      </c>
      <c r="D52" s="155">
        <f>D54+D78</f>
        <v>1803134760</v>
      </c>
      <c r="E52" s="1"/>
      <c r="F52" s="1"/>
    </row>
    <row r="53" spans="1:6" ht="14.25">
      <c r="A53" s="133"/>
      <c r="B53" s="133"/>
      <c r="C53" s="133"/>
      <c r="D53" s="133"/>
      <c r="E53" s="1"/>
      <c r="F53" s="1"/>
    </row>
    <row r="54" spans="1:6" ht="14.25">
      <c r="A54" s="134"/>
      <c r="B54" s="134" t="s">
        <v>76</v>
      </c>
      <c r="C54" s="135">
        <f>C55+C60+C69+C59</f>
        <v>1392684541</v>
      </c>
      <c r="D54" s="135">
        <f>D55+D60+D69+D59</f>
        <v>1392684541</v>
      </c>
      <c r="E54" s="1"/>
      <c r="F54" s="1"/>
    </row>
    <row r="55" spans="1:6" ht="14.25">
      <c r="A55" s="240" t="s">
        <v>51</v>
      </c>
      <c r="B55" s="240"/>
      <c r="C55" s="76">
        <f>SUM(C56:C58)</f>
        <v>815733445.0000001</v>
      </c>
      <c r="D55" s="76">
        <f>SUM(D56:D58)</f>
        <v>815733445.0000001</v>
      </c>
      <c r="E55" s="1"/>
      <c r="F55" s="1"/>
    </row>
    <row r="56" spans="1:7" ht="30">
      <c r="A56" s="50">
        <v>6001</v>
      </c>
      <c r="B56" s="97" t="s">
        <v>275</v>
      </c>
      <c r="C56" s="36">
        <f>775953445/149*121</f>
        <v>630136690.2348994</v>
      </c>
      <c r="D56" s="36">
        <f>775953445/149*121</f>
        <v>630136690.2348994</v>
      </c>
      <c r="E56" s="1"/>
      <c r="F56" s="1"/>
      <c r="G56" s="199"/>
    </row>
    <row r="57" spans="1:6" ht="15">
      <c r="A57" s="50">
        <v>6001</v>
      </c>
      <c r="B57" s="51" t="s">
        <v>276</v>
      </c>
      <c r="C57" s="36">
        <f>775953445/149*28</f>
        <v>145816754.7651007</v>
      </c>
      <c r="D57" s="36">
        <f>775953445/149*28</f>
        <v>145816754.7651007</v>
      </c>
      <c r="E57" s="1"/>
      <c r="F57" s="1"/>
    </row>
    <row r="58" spans="1:6" ht="15">
      <c r="A58" s="50">
        <v>6051</v>
      </c>
      <c r="B58" s="51" t="s">
        <v>277</v>
      </c>
      <c r="C58" s="36">
        <v>39780000</v>
      </c>
      <c r="D58" s="36">
        <v>39780000</v>
      </c>
      <c r="E58" s="1"/>
      <c r="F58" s="1"/>
    </row>
    <row r="59" spans="1:6" ht="15">
      <c r="A59" s="50"/>
      <c r="B59" s="51"/>
      <c r="C59" s="36"/>
      <c r="D59" s="36"/>
      <c r="E59" s="1"/>
      <c r="F59" s="1"/>
    </row>
    <row r="60" spans="1:6" ht="14.25">
      <c r="A60" s="240" t="s">
        <v>56</v>
      </c>
      <c r="B60" s="240"/>
      <c r="C60" s="52">
        <f>SUM(C61:C68)</f>
        <v>338288578</v>
      </c>
      <c r="D60" s="52">
        <f>SUM(D61:D68)</f>
        <v>338288578</v>
      </c>
      <c r="E60" s="1"/>
      <c r="F60" s="1"/>
    </row>
    <row r="61" spans="1:6" ht="15">
      <c r="A61" s="50">
        <v>6101</v>
      </c>
      <c r="B61" s="42" t="s">
        <v>278</v>
      </c>
      <c r="C61" s="36">
        <f>16092000/1490*1210</f>
        <v>13068000</v>
      </c>
      <c r="D61" s="36">
        <f>16092000/1490*1210</f>
        <v>13068000</v>
      </c>
      <c r="E61" s="1"/>
      <c r="F61" s="1"/>
    </row>
    <row r="62" spans="1:6" ht="15">
      <c r="A62" s="50"/>
      <c r="B62" s="42" t="s">
        <v>279</v>
      </c>
      <c r="C62" s="36">
        <f>16092000/1490*280</f>
        <v>3024000</v>
      </c>
      <c r="D62" s="36">
        <f>16092000/1490*280</f>
        <v>3024000</v>
      </c>
      <c r="E62" s="1"/>
      <c r="F62" s="1"/>
    </row>
    <row r="63" spans="1:6" ht="15">
      <c r="A63" s="50">
        <v>6112</v>
      </c>
      <c r="B63" s="42" t="s">
        <v>280</v>
      </c>
      <c r="C63" s="36">
        <f>214449100/1490*1210</f>
        <v>174149940.2684564</v>
      </c>
      <c r="D63" s="36">
        <f>214449100/1490*1210</f>
        <v>174149940.2684564</v>
      </c>
      <c r="E63" s="1"/>
      <c r="F63" s="1"/>
    </row>
    <row r="64" spans="1:6" ht="15">
      <c r="A64" s="50"/>
      <c r="B64" s="42" t="s">
        <v>281</v>
      </c>
      <c r="C64" s="36">
        <f>214449100/1490*280</f>
        <v>40299159.73154362</v>
      </c>
      <c r="D64" s="36">
        <f>214449100/1490*280</f>
        <v>40299159.73154362</v>
      </c>
      <c r="E64" s="1"/>
      <c r="F64" s="1"/>
    </row>
    <row r="65" spans="1:6" ht="15">
      <c r="A65" s="50">
        <v>6113</v>
      </c>
      <c r="B65" s="42" t="s">
        <v>282</v>
      </c>
      <c r="C65" s="36">
        <f>1788000/1490*1210</f>
        <v>1452000</v>
      </c>
      <c r="D65" s="36">
        <f>1788000/1490*1210</f>
        <v>1452000</v>
      </c>
      <c r="E65" s="1"/>
      <c r="F65" s="1"/>
    </row>
    <row r="66" spans="1:6" ht="15">
      <c r="A66" s="50"/>
      <c r="B66" s="42" t="s">
        <v>283</v>
      </c>
      <c r="C66" s="36">
        <f>1788000/1490*280</f>
        <v>336000</v>
      </c>
      <c r="D66" s="36">
        <f>1788000/1490*280</f>
        <v>336000</v>
      </c>
      <c r="E66" s="1"/>
      <c r="F66" s="1"/>
    </row>
    <row r="67" spans="1:6" ht="26.25">
      <c r="A67" s="50">
        <v>6115</v>
      </c>
      <c r="B67" s="136" t="s">
        <v>284</v>
      </c>
      <c r="C67" s="36">
        <f>105959478/1490*1210</f>
        <v>86047629.7852349</v>
      </c>
      <c r="D67" s="36">
        <f>105959478/1490*1210</f>
        <v>86047629.7852349</v>
      </c>
      <c r="E67" s="1"/>
      <c r="F67" s="1"/>
    </row>
    <row r="68" spans="1:6" ht="26.25">
      <c r="A68" s="50"/>
      <c r="B68" s="136" t="s">
        <v>285</v>
      </c>
      <c r="C68" s="36">
        <f>105959478/1490*280</f>
        <v>19911848.214765098</v>
      </c>
      <c r="D68" s="36">
        <f>105959478/1490*280</f>
        <v>19911848.214765098</v>
      </c>
      <c r="E68" s="1"/>
      <c r="F68" s="1"/>
    </row>
    <row r="69" spans="1:6" ht="14.25">
      <c r="A69" s="240" t="s">
        <v>286</v>
      </c>
      <c r="B69" s="240"/>
      <c r="C69" s="52">
        <f>SUM(C70:C77)</f>
        <v>238662517.99999997</v>
      </c>
      <c r="D69" s="52">
        <f>SUM(D70:D77)</f>
        <v>238662517.99999997</v>
      </c>
      <c r="E69" s="1"/>
      <c r="F69" s="10"/>
    </row>
    <row r="70" spans="1:6" ht="15">
      <c r="A70" s="50">
        <v>6301</v>
      </c>
      <c r="B70" s="55" t="s">
        <v>287</v>
      </c>
      <c r="C70" s="36">
        <f>177919337/1490*1210</f>
        <v>144484830.71812078</v>
      </c>
      <c r="D70" s="36">
        <f>177919337/1490*1210</f>
        <v>144484830.71812078</v>
      </c>
      <c r="E70" s="1"/>
      <c r="F70" s="1"/>
    </row>
    <row r="71" spans="1:6" ht="15">
      <c r="A71" s="50">
        <v>6302</v>
      </c>
      <c r="B71" s="55" t="s">
        <v>288</v>
      </c>
      <c r="C71" s="36">
        <f>30500458/1490*1210</f>
        <v>24768828.30872483</v>
      </c>
      <c r="D71" s="36">
        <f>30500458/1490*1210</f>
        <v>24768828.30872483</v>
      </c>
      <c r="E71" s="1"/>
      <c r="F71" s="1"/>
    </row>
    <row r="72" spans="1:6" ht="15">
      <c r="A72" s="50">
        <v>6303</v>
      </c>
      <c r="B72" s="55" t="s">
        <v>289</v>
      </c>
      <c r="C72" s="36">
        <f>20332295/1490*1210</f>
        <v>16511461.040268457</v>
      </c>
      <c r="D72" s="36">
        <f>20332295/1490*1210</f>
        <v>16511461.040268457</v>
      </c>
      <c r="E72" s="1"/>
      <c r="F72" s="1"/>
    </row>
    <row r="73" spans="1:6" ht="15">
      <c r="A73" s="50">
        <v>6304</v>
      </c>
      <c r="B73" s="55" t="s">
        <v>290</v>
      </c>
      <c r="C73" s="36">
        <f>9910428/1490*1210</f>
        <v>8048065.691275167</v>
      </c>
      <c r="D73" s="36">
        <f>9910428/1490*1210</f>
        <v>8048065.691275167</v>
      </c>
      <c r="E73" s="1"/>
      <c r="F73" s="1"/>
    </row>
    <row r="74" spans="1:6" ht="15">
      <c r="A74" s="50">
        <v>6301</v>
      </c>
      <c r="B74" s="55" t="s">
        <v>291</v>
      </c>
      <c r="C74" s="36">
        <f>177919337/1490*280</f>
        <v>33434506.281879194</v>
      </c>
      <c r="D74" s="36">
        <f>177919337/1490*280</f>
        <v>33434506.281879194</v>
      </c>
      <c r="E74" s="1"/>
      <c r="F74" s="1"/>
    </row>
    <row r="75" spans="1:6" ht="15">
      <c r="A75" s="50">
        <v>6302</v>
      </c>
      <c r="B75" s="55" t="s">
        <v>292</v>
      </c>
      <c r="C75" s="36">
        <f>30500458/1490*280</f>
        <v>5731629.691275167</v>
      </c>
      <c r="D75" s="36">
        <f>30500458/1490*280</f>
        <v>5731629.691275167</v>
      </c>
      <c r="E75" s="1"/>
      <c r="F75" s="1"/>
    </row>
    <row r="76" spans="1:6" ht="15">
      <c r="A76" s="50">
        <v>6303</v>
      </c>
      <c r="B76" s="55" t="s">
        <v>293</v>
      </c>
      <c r="C76" s="36">
        <f>20332295/1490*280</f>
        <v>3820833.9597315434</v>
      </c>
      <c r="D76" s="36">
        <f>20332295/1490*280</f>
        <v>3820833.9597315434</v>
      </c>
      <c r="E76" s="1"/>
      <c r="F76" s="1"/>
    </row>
    <row r="77" spans="1:6" ht="15">
      <c r="A77" s="50">
        <v>6304</v>
      </c>
      <c r="B77" s="55" t="s">
        <v>294</v>
      </c>
      <c r="C77" s="36">
        <f>9910428/1490*280</f>
        <v>1862362.3087248323</v>
      </c>
      <c r="D77" s="36">
        <f>9910428/1490*280</f>
        <v>1862362.3087248323</v>
      </c>
      <c r="E77" s="1"/>
      <c r="F77" s="1"/>
    </row>
    <row r="78" spans="1:6" ht="14.25">
      <c r="A78" s="71"/>
      <c r="B78" s="71" t="s">
        <v>295</v>
      </c>
      <c r="C78" s="52">
        <f>C79+C83+C87+C93+C97+C100+C105+C110+C117+C123+C125+C134</f>
        <v>410450219</v>
      </c>
      <c r="D78" s="52">
        <f>D79+D83+D87+D93+D97+D100+D105+D110+D117+D123+D125+D134</f>
        <v>410450219</v>
      </c>
      <c r="E78" s="1"/>
      <c r="F78" s="1"/>
    </row>
    <row r="79" spans="1:6" ht="14.25">
      <c r="A79" s="240" t="s">
        <v>78</v>
      </c>
      <c r="B79" s="240"/>
      <c r="C79" s="52">
        <f>SUM(C80:C82)</f>
        <v>70917000</v>
      </c>
      <c r="D79" s="52">
        <f>SUM(D80:D82)</f>
        <v>70917000</v>
      </c>
      <c r="E79" s="1"/>
      <c r="F79" s="1"/>
    </row>
    <row r="80" spans="1:6" ht="15">
      <c r="A80" s="50">
        <v>6449</v>
      </c>
      <c r="B80" s="55" t="s">
        <v>296</v>
      </c>
      <c r="C80" s="38">
        <v>19317000</v>
      </c>
      <c r="D80" s="38">
        <v>19317000</v>
      </c>
      <c r="E80" s="1"/>
      <c r="F80" s="1"/>
    </row>
    <row r="81" spans="1:6" ht="15">
      <c r="A81" s="50">
        <v>6449</v>
      </c>
      <c r="B81" s="55" t="s">
        <v>79</v>
      </c>
      <c r="C81" s="38"/>
      <c r="D81" s="38"/>
      <c r="E81" s="1"/>
      <c r="F81" s="1"/>
    </row>
    <row r="82" spans="1:6" ht="15">
      <c r="A82" s="50">
        <v>6404</v>
      </c>
      <c r="B82" s="55" t="s">
        <v>342</v>
      </c>
      <c r="C82" s="38">
        <v>51600000</v>
      </c>
      <c r="D82" s="38">
        <v>51600000</v>
      </c>
      <c r="E82" s="1"/>
      <c r="F82" s="1"/>
    </row>
    <row r="83" spans="1:6" ht="14.25">
      <c r="A83" s="240" t="s">
        <v>81</v>
      </c>
      <c r="B83" s="240"/>
      <c r="C83" s="52">
        <f>SUM(C84:C86)</f>
        <v>61596465</v>
      </c>
      <c r="D83" s="52">
        <f>SUM(D84:D86)</f>
        <v>61596465</v>
      </c>
      <c r="E83" s="1"/>
      <c r="F83" s="1"/>
    </row>
    <row r="84" spans="1:6" ht="15">
      <c r="A84" s="50">
        <v>6501</v>
      </c>
      <c r="B84" s="51" t="s">
        <v>82</v>
      </c>
      <c r="C84" s="122">
        <v>40685665</v>
      </c>
      <c r="D84" s="122">
        <v>40685665</v>
      </c>
      <c r="E84" s="1"/>
      <c r="F84" s="1"/>
    </row>
    <row r="85" spans="1:6" ht="15">
      <c r="A85" s="50">
        <v>6502</v>
      </c>
      <c r="B85" s="51" t="s">
        <v>343</v>
      </c>
      <c r="C85" s="122">
        <v>910800</v>
      </c>
      <c r="D85" s="122">
        <v>910800</v>
      </c>
      <c r="E85" s="28"/>
      <c r="F85" s="28"/>
    </row>
    <row r="86" spans="1:6" ht="15">
      <c r="A86" s="50">
        <v>6504</v>
      </c>
      <c r="B86" s="51" t="s">
        <v>84</v>
      </c>
      <c r="C86" s="122">
        <v>20000000</v>
      </c>
      <c r="D86" s="122">
        <v>20000000</v>
      </c>
      <c r="E86" s="28"/>
      <c r="F86" s="28"/>
    </row>
    <row r="87" spans="1:6" ht="14.25">
      <c r="A87" s="240" t="s">
        <v>86</v>
      </c>
      <c r="B87" s="240"/>
      <c r="C87" s="52">
        <f>SUM(C88:C92)</f>
        <v>58185000</v>
      </c>
      <c r="D87" s="52">
        <f>SUM(D88:D92)</f>
        <v>58185000</v>
      </c>
      <c r="E87" s="1"/>
      <c r="F87" s="1"/>
    </row>
    <row r="88" spans="1:6" ht="15">
      <c r="A88" s="50">
        <v>6551</v>
      </c>
      <c r="B88" s="59" t="s">
        <v>87</v>
      </c>
      <c r="C88" s="122">
        <v>2825000</v>
      </c>
      <c r="D88" s="122">
        <v>2825000</v>
      </c>
      <c r="E88" s="1"/>
      <c r="F88" s="1"/>
    </row>
    <row r="89" spans="1:6" ht="15">
      <c r="A89" s="50">
        <v>6552</v>
      </c>
      <c r="B89" s="59" t="s">
        <v>89</v>
      </c>
      <c r="C89" s="137">
        <v>35750000</v>
      </c>
      <c r="D89" s="137">
        <v>35750000</v>
      </c>
      <c r="E89" s="1"/>
      <c r="F89" s="1"/>
    </row>
    <row r="90" spans="1:6" ht="16.5">
      <c r="A90" s="50">
        <v>6552</v>
      </c>
      <c r="B90" s="59" t="s">
        <v>297</v>
      </c>
      <c r="C90" s="63"/>
      <c r="D90" s="63"/>
      <c r="E90" s="1"/>
      <c r="F90" s="1"/>
    </row>
    <row r="91" spans="1:6" ht="16.5">
      <c r="A91" s="50">
        <v>6552</v>
      </c>
      <c r="B91" s="138" t="s">
        <v>298</v>
      </c>
      <c r="C91" s="63"/>
      <c r="D91" s="63"/>
      <c r="E91" s="1"/>
      <c r="F91" s="1"/>
    </row>
    <row r="92" spans="1:6" ht="15">
      <c r="A92" s="50">
        <v>6599</v>
      </c>
      <c r="B92" s="59" t="s">
        <v>93</v>
      </c>
      <c r="C92" s="122">
        <v>19610000</v>
      </c>
      <c r="D92" s="122">
        <v>19610000</v>
      </c>
      <c r="E92" s="1"/>
      <c r="F92" s="1"/>
    </row>
    <row r="93" spans="1:6" ht="14.25">
      <c r="A93" s="240" t="s">
        <v>95</v>
      </c>
      <c r="B93" s="240"/>
      <c r="C93" s="52">
        <f>SUM(C94:C96)</f>
        <v>3003627</v>
      </c>
      <c r="D93" s="52">
        <f>SUM(D94:D96)</f>
        <v>3003627</v>
      </c>
      <c r="E93" s="1"/>
      <c r="F93" s="1"/>
    </row>
    <row r="94" spans="1:6" ht="15">
      <c r="A94" s="50">
        <v>6601</v>
      </c>
      <c r="B94" s="59" t="s">
        <v>96</v>
      </c>
      <c r="C94" s="122">
        <v>99627</v>
      </c>
      <c r="D94" s="122">
        <v>99627</v>
      </c>
      <c r="E94" s="1"/>
      <c r="F94" s="1"/>
    </row>
    <row r="95" spans="1:6" ht="15">
      <c r="A95" s="50">
        <v>6605</v>
      </c>
      <c r="B95" s="59" t="s">
        <v>98</v>
      </c>
      <c r="C95" s="122">
        <v>1704000</v>
      </c>
      <c r="D95" s="122">
        <v>1704000</v>
      </c>
      <c r="E95" s="1"/>
      <c r="F95" s="1"/>
    </row>
    <row r="96" spans="1:6" ht="15">
      <c r="A96" s="50">
        <v>6618</v>
      </c>
      <c r="B96" s="59" t="s">
        <v>100</v>
      </c>
      <c r="C96" s="122">
        <v>1200000</v>
      </c>
      <c r="D96" s="122">
        <v>1200000</v>
      </c>
      <c r="E96" s="1"/>
      <c r="F96" s="1"/>
    </row>
    <row r="97" spans="1:6" ht="14.25">
      <c r="A97" s="240" t="s">
        <v>102</v>
      </c>
      <c r="B97" s="240"/>
      <c r="C97" s="52">
        <f>SUM(C98:C99)</f>
        <v>0</v>
      </c>
      <c r="D97" s="52">
        <f>SUM(D98:D99)</f>
        <v>0</v>
      </c>
      <c r="E97" s="1"/>
      <c r="F97" s="1"/>
    </row>
    <row r="98" spans="1:6" ht="15">
      <c r="A98" s="50">
        <v>6657</v>
      </c>
      <c r="B98" s="59" t="s">
        <v>103</v>
      </c>
      <c r="C98" s="122"/>
      <c r="D98" s="122"/>
      <c r="E98" s="1"/>
      <c r="F98" s="1"/>
    </row>
    <row r="99" spans="1:6" ht="15">
      <c r="A99" s="50">
        <v>6699</v>
      </c>
      <c r="B99" s="51" t="s">
        <v>104</v>
      </c>
      <c r="C99" s="122"/>
      <c r="D99" s="122"/>
      <c r="E99" s="1"/>
      <c r="F99" s="1"/>
    </row>
    <row r="100" spans="1:6" ht="24.75" customHeight="1">
      <c r="A100" s="240" t="s">
        <v>105</v>
      </c>
      <c r="B100" s="240"/>
      <c r="C100" s="52">
        <f>SUM(C101:C104)</f>
        <v>37584032</v>
      </c>
      <c r="D100" s="52">
        <f>SUM(D101:D104)</f>
        <v>37584032</v>
      </c>
      <c r="E100" s="1"/>
      <c r="F100" s="1"/>
    </row>
    <row r="101" spans="1:6" ht="24.75" customHeight="1">
      <c r="A101" s="50">
        <v>6701</v>
      </c>
      <c r="B101" s="51" t="s">
        <v>106</v>
      </c>
      <c r="C101" s="122">
        <v>15624032</v>
      </c>
      <c r="D101" s="122">
        <v>15624032</v>
      </c>
      <c r="E101" s="1"/>
      <c r="F101" s="1"/>
    </row>
    <row r="102" spans="1:6" ht="24.75" customHeight="1">
      <c r="A102" s="50">
        <v>6702</v>
      </c>
      <c r="B102" s="51" t="s">
        <v>108</v>
      </c>
      <c r="C102" s="122">
        <v>18960000</v>
      </c>
      <c r="D102" s="122">
        <v>18960000</v>
      </c>
      <c r="E102" s="1"/>
      <c r="F102" s="1"/>
    </row>
    <row r="103" spans="1:6" ht="24.75" customHeight="1">
      <c r="A103" s="50">
        <v>6703</v>
      </c>
      <c r="B103" s="51" t="s">
        <v>110</v>
      </c>
      <c r="C103" s="122"/>
      <c r="D103" s="122"/>
      <c r="E103" s="1"/>
      <c r="F103" s="1"/>
    </row>
    <row r="104" spans="1:6" ht="24.75" customHeight="1">
      <c r="A104" s="50">
        <v>6704</v>
      </c>
      <c r="B104" s="59" t="s">
        <v>112</v>
      </c>
      <c r="C104" s="122">
        <v>3000000</v>
      </c>
      <c r="D104" s="122">
        <v>3000000</v>
      </c>
      <c r="E104" s="1"/>
      <c r="F104" s="1"/>
    </row>
    <row r="105" spans="1:6" ht="24.75" customHeight="1">
      <c r="A105" s="240" t="s">
        <v>114</v>
      </c>
      <c r="B105" s="240"/>
      <c r="C105" s="52">
        <f>SUM(C106:C109)</f>
        <v>120519395</v>
      </c>
      <c r="D105" s="52">
        <f>SUM(D106:D109)</f>
        <v>120519395</v>
      </c>
      <c r="E105" s="1"/>
      <c r="F105" s="1"/>
    </row>
    <row r="106" spans="1:6" ht="15">
      <c r="A106" s="50">
        <v>6751</v>
      </c>
      <c r="B106" s="51" t="s">
        <v>115</v>
      </c>
      <c r="C106" s="38"/>
      <c r="D106" s="38"/>
      <c r="E106" s="1"/>
      <c r="F106" s="1"/>
    </row>
    <row r="107" spans="1:14" s="3" customFormat="1" ht="22.5" customHeight="1">
      <c r="A107" s="50">
        <v>6757</v>
      </c>
      <c r="B107" s="55" t="s">
        <v>117</v>
      </c>
      <c r="C107" s="39">
        <v>55359395</v>
      </c>
      <c r="D107" s="39">
        <v>55359395</v>
      </c>
      <c r="E107" s="2"/>
      <c r="F107" s="2"/>
      <c r="K107" s="30"/>
      <c r="L107" s="30"/>
      <c r="M107" s="30"/>
      <c r="N107" s="30"/>
    </row>
    <row r="108" spans="1:6" ht="22.5" customHeight="1">
      <c r="A108" s="50">
        <v>6758</v>
      </c>
      <c r="B108" s="55" t="s">
        <v>120</v>
      </c>
      <c r="C108" s="39"/>
      <c r="D108" s="39"/>
      <c r="E108" s="1"/>
      <c r="F108" s="1"/>
    </row>
    <row r="109" spans="1:6" ht="22.5" customHeight="1">
      <c r="A109" s="121">
        <v>6799</v>
      </c>
      <c r="B109" s="139" t="s">
        <v>299</v>
      </c>
      <c r="C109" s="38">
        <v>65160000</v>
      </c>
      <c r="D109" s="38">
        <v>65160000</v>
      </c>
      <c r="E109" s="1"/>
      <c r="F109" s="1"/>
    </row>
    <row r="110" spans="1:6" ht="22.5" customHeight="1">
      <c r="A110" s="240" t="s">
        <v>124</v>
      </c>
      <c r="B110" s="240"/>
      <c r="C110" s="52">
        <f>SUM(C111:C116)</f>
        <v>28154500</v>
      </c>
      <c r="D110" s="52">
        <f>SUM(D111:D116)</f>
        <v>28154500</v>
      </c>
      <c r="E110" s="1"/>
      <c r="F110" s="1"/>
    </row>
    <row r="111" spans="1:6" ht="22.5" customHeight="1">
      <c r="A111" s="50">
        <v>6907</v>
      </c>
      <c r="B111" s="51" t="s">
        <v>125</v>
      </c>
      <c r="C111" s="122"/>
      <c r="D111" s="122"/>
      <c r="E111" s="1"/>
      <c r="F111" s="1"/>
    </row>
    <row r="112" spans="1:6" ht="22.5" customHeight="1">
      <c r="A112" s="50">
        <v>6912</v>
      </c>
      <c r="B112" s="51" t="s">
        <v>127</v>
      </c>
      <c r="C112" s="122">
        <v>8602000</v>
      </c>
      <c r="D112" s="122">
        <v>8602000</v>
      </c>
      <c r="E112" s="1"/>
      <c r="F112" s="1"/>
    </row>
    <row r="113" spans="1:6" ht="22.5" customHeight="1">
      <c r="A113" s="50">
        <v>6913</v>
      </c>
      <c r="B113" s="51" t="s">
        <v>129</v>
      </c>
      <c r="C113" s="122"/>
      <c r="D113" s="122"/>
      <c r="E113" s="1"/>
      <c r="F113" s="1"/>
    </row>
    <row r="114" spans="1:14" s="3" customFormat="1" ht="15">
      <c r="A114" s="50">
        <v>6921</v>
      </c>
      <c r="B114" s="51" t="s">
        <v>130</v>
      </c>
      <c r="C114" s="122"/>
      <c r="D114" s="122"/>
      <c r="E114" s="2"/>
      <c r="F114" s="2"/>
      <c r="K114" s="30"/>
      <c r="L114" s="30"/>
      <c r="M114" s="30"/>
      <c r="N114" s="30"/>
    </row>
    <row r="115" spans="1:6" ht="15">
      <c r="A115" s="50">
        <v>6949</v>
      </c>
      <c r="B115" s="51" t="s">
        <v>132</v>
      </c>
      <c r="C115" s="122"/>
      <c r="D115" s="122"/>
      <c r="E115" s="1"/>
      <c r="F115" s="1"/>
    </row>
    <row r="116" spans="1:6" ht="15">
      <c r="A116" s="50">
        <v>6999</v>
      </c>
      <c r="B116" s="51" t="s">
        <v>344</v>
      </c>
      <c r="C116" s="122">
        <v>19552500</v>
      </c>
      <c r="D116" s="122">
        <v>19552500</v>
      </c>
      <c r="E116" s="1"/>
      <c r="F116" s="1"/>
    </row>
    <row r="117" spans="1:6" ht="14.25">
      <c r="A117" s="240" t="s">
        <v>134</v>
      </c>
      <c r="B117" s="240"/>
      <c r="C117" s="52">
        <f>SUM(C118:C122)</f>
        <v>11530000</v>
      </c>
      <c r="D117" s="52">
        <f>SUM(D118:D122)</f>
        <v>11530000</v>
      </c>
      <c r="E117" s="1"/>
      <c r="F117" s="1"/>
    </row>
    <row r="118" spans="1:6" ht="30.75" customHeight="1">
      <c r="A118" s="50">
        <v>7001</v>
      </c>
      <c r="B118" s="51" t="s">
        <v>135</v>
      </c>
      <c r="C118" s="38"/>
      <c r="D118" s="38"/>
      <c r="E118" s="1"/>
      <c r="F118" s="1"/>
    </row>
    <row r="119" spans="1:6" ht="30.75" customHeight="1">
      <c r="A119" s="50">
        <v>7004</v>
      </c>
      <c r="B119" s="55" t="s">
        <v>300</v>
      </c>
      <c r="C119" s="40">
        <v>3780000</v>
      </c>
      <c r="D119" s="40">
        <v>3780000</v>
      </c>
      <c r="E119" s="1"/>
      <c r="F119" s="1"/>
    </row>
    <row r="120" spans="1:6" ht="30.75" customHeight="1">
      <c r="A120" s="50">
        <v>7049</v>
      </c>
      <c r="B120" s="51" t="s">
        <v>301</v>
      </c>
      <c r="C120" s="39"/>
      <c r="D120" s="39"/>
      <c r="E120" s="1"/>
      <c r="F120" s="1"/>
    </row>
    <row r="121" spans="1:6" ht="30.75" customHeight="1">
      <c r="A121" s="50">
        <v>7049</v>
      </c>
      <c r="B121" s="51" t="s">
        <v>49</v>
      </c>
      <c r="C121" s="40"/>
      <c r="D121" s="40"/>
      <c r="E121" s="1"/>
      <c r="F121" s="1"/>
    </row>
    <row r="122" spans="1:6" ht="15">
      <c r="A122" s="50">
        <v>7049</v>
      </c>
      <c r="B122" s="51" t="s">
        <v>142</v>
      </c>
      <c r="C122" s="40">
        <v>7750000</v>
      </c>
      <c r="D122" s="40">
        <v>7750000</v>
      </c>
      <c r="E122" s="1"/>
      <c r="F122" s="1"/>
    </row>
    <row r="123" spans="1:6" ht="14.25">
      <c r="A123" s="240" t="s">
        <v>144</v>
      </c>
      <c r="B123" s="240"/>
      <c r="C123" s="52">
        <f>C124</f>
        <v>4140000</v>
      </c>
      <c r="D123" s="52">
        <f>D124</f>
        <v>4140000</v>
      </c>
      <c r="E123" s="1"/>
      <c r="F123" s="1"/>
    </row>
    <row r="124" spans="1:6" ht="26.25">
      <c r="A124" s="50">
        <v>7053</v>
      </c>
      <c r="B124" s="66" t="s">
        <v>145</v>
      </c>
      <c r="C124" s="38">
        <v>4140000</v>
      </c>
      <c r="D124" s="38">
        <v>4140000</v>
      </c>
      <c r="E124" s="1"/>
      <c r="F124" s="1"/>
    </row>
    <row r="125" spans="1:6" ht="14.25">
      <c r="A125" s="144"/>
      <c r="B125" s="144" t="s">
        <v>147</v>
      </c>
      <c r="C125" s="68">
        <f>SUM(C126:C132)</f>
        <v>14820200</v>
      </c>
      <c r="D125" s="68">
        <f>SUM(D126:D132)</f>
        <v>14820200</v>
      </c>
      <c r="E125" s="1"/>
      <c r="F125" s="1"/>
    </row>
    <row r="126" spans="1:6" ht="15">
      <c r="A126" s="50"/>
      <c r="B126" s="65" t="s">
        <v>49</v>
      </c>
      <c r="C126" s="69"/>
      <c r="D126" s="69"/>
      <c r="E126" s="1"/>
      <c r="F126" s="1"/>
    </row>
    <row r="127" spans="1:6" ht="15">
      <c r="A127" s="50">
        <v>7756</v>
      </c>
      <c r="B127" s="42" t="s">
        <v>46</v>
      </c>
      <c r="C127" s="38">
        <v>420200</v>
      </c>
      <c r="D127" s="38">
        <v>420200</v>
      </c>
      <c r="E127" s="1"/>
      <c r="F127" s="1"/>
    </row>
    <row r="128" spans="1:6" ht="15">
      <c r="A128" s="50">
        <v>7761</v>
      </c>
      <c r="B128" s="42" t="s">
        <v>47</v>
      </c>
      <c r="C128" s="38"/>
      <c r="D128" s="38"/>
      <c r="E128" s="1"/>
      <c r="F128" s="1"/>
    </row>
    <row r="129" spans="1:6" ht="15">
      <c r="A129" s="50">
        <v>7764</v>
      </c>
      <c r="B129" s="42" t="s">
        <v>302</v>
      </c>
      <c r="C129" s="39">
        <v>14400000</v>
      </c>
      <c r="D129" s="39">
        <v>14400000</v>
      </c>
      <c r="E129" s="1"/>
      <c r="F129" s="1"/>
    </row>
    <row r="130" spans="1:6" ht="15">
      <c r="A130" s="50">
        <v>7764</v>
      </c>
      <c r="B130" s="42" t="s">
        <v>303</v>
      </c>
      <c r="C130" s="39"/>
      <c r="D130" s="39"/>
      <c r="E130" s="1"/>
      <c r="F130" s="1"/>
    </row>
    <row r="131" spans="1:6" ht="15">
      <c r="A131" s="50">
        <v>7799</v>
      </c>
      <c r="B131" s="42" t="s">
        <v>304</v>
      </c>
      <c r="C131" s="40"/>
      <c r="D131" s="40"/>
      <c r="E131" s="1"/>
      <c r="F131" s="1"/>
    </row>
    <row r="132" spans="1:6" ht="15">
      <c r="A132" s="50">
        <v>7799</v>
      </c>
      <c r="B132" s="42" t="s">
        <v>49</v>
      </c>
      <c r="C132" s="39"/>
      <c r="D132" s="39"/>
      <c r="E132" s="1"/>
      <c r="F132" s="1"/>
    </row>
    <row r="133" spans="1:6" ht="15">
      <c r="A133" s="50"/>
      <c r="B133" s="70" t="s">
        <v>154</v>
      </c>
      <c r="C133" s="52"/>
      <c r="D133" s="52"/>
      <c r="E133" s="1"/>
      <c r="F133" s="1"/>
    </row>
    <row r="134" spans="1:6" ht="15">
      <c r="A134" s="50">
        <v>7899</v>
      </c>
      <c r="B134" s="42" t="s">
        <v>155</v>
      </c>
      <c r="C134" s="38"/>
      <c r="D134" s="38"/>
      <c r="E134" s="1"/>
      <c r="F134" s="1"/>
    </row>
    <row r="135" spans="1:6" ht="20.25">
      <c r="A135" s="50"/>
      <c r="B135" s="140" t="s">
        <v>270</v>
      </c>
      <c r="C135" s="148">
        <f>C52</f>
        <v>1803134760</v>
      </c>
      <c r="D135" s="148">
        <f>D52</f>
        <v>1803134760</v>
      </c>
      <c r="E135" s="1"/>
      <c r="F135" s="1"/>
    </row>
    <row r="136" spans="1:6" ht="15.75">
      <c r="A136" s="95"/>
      <c r="B136" s="141" t="s">
        <v>158</v>
      </c>
      <c r="C136" s="72"/>
      <c r="D136" s="72"/>
      <c r="E136" s="1"/>
      <c r="F136" s="1"/>
    </row>
    <row r="137" spans="1:6" ht="15">
      <c r="A137" s="50"/>
      <c r="B137" s="71"/>
      <c r="C137" s="72"/>
      <c r="D137" s="72"/>
      <c r="E137" s="1"/>
      <c r="F137" s="1"/>
    </row>
    <row r="138" spans="1:6" ht="15">
      <c r="A138" s="50"/>
      <c r="B138" s="71"/>
      <c r="C138" s="72"/>
      <c r="D138" s="72"/>
      <c r="E138" s="1"/>
      <c r="F138" s="1"/>
    </row>
    <row r="139" spans="1:6" ht="11.25" customHeight="1">
      <c r="A139" s="50"/>
      <c r="B139" s="65" t="s">
        <v>160</v>
      </c>
      <c r="C139" s="73"/>
      <c r="D139" s="73"/>
      <c r="E139" s="1"/>
      <c r="F139" s="1"/>
    </row>
    <row r="140" spans="1:6" ht="15">
      <c r="A140" s="50"/>
      <c r="B140" s="65" t="s">
        <v>305</v>
      </c>
      <c r="C140" s="73"/>
      <c r="D140" s="73"/>
      <c r="E140" s="154"/>
      <c r="F140" s="154"/>
    </row>
    <row r="141" spans="1:6" ht="14.25">
      <c r="A141" s="27"/>
      <c r="B141" s="145" t="s">
        <v>51</v>
      </c>
      <c r="C141" s="76">
        <f>SUM(C142:C142)</f>
        <v>0</v>
      </c>
      <c r="D141" s="76">
        <f>SUM(D142:D142)</f>
        <v>0</v>
      </c>
      <c r="E141" s="154"/>
      <c r="F141" s="154"/>
    </row>
    <row r="142" spans="1:6" ht="15">
      <c r="A142" s="50">
        <v>6001</v>
      </c>
      <c r="B142" s="51" t="s">
        <v>276</v>
      </c>
      <c r="C142" s="36"/>
      <c r="D142" s="36"/>
      <c r="E142" s="154"/>
      <c r="F142" s="154"/>
    </row>
    <row r="143" spans="1:6" ht="14.25">
      <c r="A143" s="240" t="s">
        <v>56</v>
      </c>
      <c r="B143" s="240"/>
      <c r="C143" s="52">
        <f>SUM(C144:C147)</f>
        <v>0</v>
      </c>
      <c r="D143" s="52">
        <f>SUM(D144:D147)</f>
        <v>0</v>
      </c>
      <c r="E143" s="154"/>
      <c r="F143" s="154"/>
    </row>
    <row r="144" spans="1:6" ht="15">
      <c r="A144" s="50">
        <v>6101</v>
      </c>
      <c r="B144" s="42" t="s">
        <v>279</v>
      </c>
      <c r="C144" s="36"/>
      <c r="D144" s="36"/>
      <c r="E144" s="154"/>
      <c r="F144" s="154"/>
    </row>
    <row r="145" spans="1:6" ht="15">
      <c r="A145" s="50">
        <v>6112</v>
      </c>
      <c r="B145" s="42" t="s">
        <v>281</v>
      </c>
      <c r="C145" s="36"/>
      <c r="D145" s="36"/>
      <c r="E145" s="154"/>
      <c r="F145" s="154"/>
    </row>
    <row r="146" spans="1:6" ht="15">
      <c r="A146" s="50">
        <v>6113</v>
      </c>
      <c r="B146" s="42" t="s">
        <v>283</v>
      </c>
      <c r="C146" s="36"/>
      <c r="D146" s="36"/>
      <c r="E146" s="154"/>
      <c r="F146" s="154"/>
    </row>
    <row r="147" spans="1:6" ht="26.25">
      <c r="A147" s="50">
        <v>6115</v>
      </c>
      <c r="B147" s="136" t="s">
        <v>285</v>
      </c>
      <c r="C147" s="36"/>
      <c r="D147" s="36"/>
      <c r="E147" s="154"/>
      <c r="F147" s="154"/>
    </row>
    <row r="148" spans="1:6" ht="15.75" customHeight="1">
      <c r="A148" s="240" t="s">
        <v>286</v>
      </c>
      <c r="B148" s="240"/>
      <c r="C148" s="52">
        <f>SUM(C149:C152)</f>
        <v>0</v>
      </c>
      <c r="D148" s="52">
        <f>SUM(D149:D152)</f>
        <v>0</v>
      </c>
      <c r="E148" s="154"/>
      <c r="F148" s="154"/>
    </row>
    <row r="149" spans="1:6" ht="15">
      <c r="A149" s="50">
        <v>6301</v>
      </c>
      <c r="B149" s="55" t="s">
        <v>291</v>
      </c>
      <c r="C149" s="36"/>
      <c r="D149" s="36"/>
      <c r="E149" s="154"/>
      <c r="F149" s="154"/>
    </row>
    <row r="150" spans="1:6" ht="15">
      <c r="A150" s="50">
        <v>6302</v>
      </c>
      <c r="B150" s="55" t="s">
        <v>292</v>
      </c>
      <c r="C150" s="36"/>
      <c r="D150" s="36"/>
      <c r="E150" s="154"/>
      <c r="F150" s="154"/>
    </row>
    <row r="151" spans="1:6" ht="15">
      <c r="A151" s="50">
        <v>6303</v>
      </c>
      <c r="B151" s="55" t="s">
        <v>293</v>
      </c>
      <c r="C151" s="36"/>
      <c r="D151" s="36"/>
      <c r="E151" s="154"/>
      <c r="F151" s="154"/>
    </row>
    <row r="152" spans="1:6" ht="15">
      <c r="A152" s="50">
        <v>6304</v>
      </c>
      <c r="B152" s="55" t="s">
        <v>294</v>
      </c>
      <c r="C152" s="36"/>
      <c r="D152" s="36"/>
      <c r="E152" s="154"/>
      <c r="F152" s="154"/>
    </row>
    <row r="153" spans="1:6" ht="19.5">
      <c r="A153" s="50"/>
      <c r="B153" s="142" t="s">
        <v>270</v>
      </c>
      <c r="C153" s="143">
        <f>C141+C143+C148</f>
        <v>0</v>
      </c>
      <c r="D153" s="143">
        <f>D141+D143+D148</f>
        <v>0</v>
      </c>
      <c r="E153" s="154"/>
      <c r="F153" s="154"/>
    </row>
    <row r="154" spans="1:6" ht="15.75">
      <c r="A154" s="74"/>
      <c r="B154" s="74" t="s">
        <v>306</v>
      </c>
      <c r="C154" s="75">
        <f>C52+C136+C153</f>
        <v>1803134760</v>
      </c>
      <c r="D154" s="75">
        <f>D52+D136+D153</f>
        <v>1803134760</v>
      </c>
      <c r="E154" s="154"/>
      <c r="F154" s="154"/>
    </row>
    <row r="155" spans="1:6" ht="15.75">
      <c r="A155" s="74"/>
      <c r="B155" s="74" t="s">
        <v>163</v>
      </c>
      <c r="C155" s="75">
        <f>ROUND((C48+C154),0)</f>
        <v>2553158663</v>
      </c>
      <c r="D155" s="75">
        <f>ROUND((D48+D154),0)</f>
        <v>2553158663</v>
      </c>
      <c r="E155" s="154"/>
      <c r="F155" s="154"/>
    </row>
    <row r="156" spans="2:6" ht="15">
      <c r="B156" s="25"/>
      <c r="D156" s="216" t="s">
        <v>347</v>
      </c>
      <c r="E156" s="216"/>
      <c r="F156" s="216"/>
    </row>
    <row r="157" spans="2:6" ht="12.75">
      <c r="B157" s="31" t="s">
        <v>30</v>
      </c>
      <c r="D157" s="205" t="s">
        <v>5</v>
      </c>
      <c r="E157" s="205"/>
      <c r="F157" s="241"/>
    </row>
    <row r="158" ht="15.75">
      <c r="B158" s="7"/>
    </row>
    <row r="159" ht="15">
      <c r="B159" s="25"/>
    </row>
    <row r="160" ht="15">
      <c r="B160" s="25"/>
    </row>
    <row r="161" ht="15">
      <c r="B161" s="25"/>
    </row>
    <row r="162" ht="15">
      <c r="B162" s="25"/>
    </row>
    <row r="163" ht="15">
      <c r="B163" s="25"/>
    </row>
    <row r="164" spans="2:6" ht="15.75">
      <c r="B164" s="99" t="s">
        <v>225</v>
      </c>
      <c r="D164" s="217" t="s">
        <v>23</v>
      </c>
      <c r="E164" s="217"/>
      <c r="F164" s="242"/>
    </row>
    <row r="165" ht="15">
      <c r="B165" s="25"/>
    </row>
  </sheetData>
  <sheetProtection/>
  <mergeCells count="36">
    <mergeCell ref="D156:F156"/>
    <mergeCell ref="D157:F157"/>
    <mergeCell ref="D164:F164"/>
    <mergeCell ref="A143:B143"/>
    <mergeCell ref="A148:B148"/>
    <mergeCell ref="C49:C50"/>
    <mergeCell ref="D49:D50"/>
    <mergeCell ref="A97:B97"/>
    <mergeCell ref="A100:B100"/>
    <mergeCell ref="A105:B105"/>
    <mergeCell ref="A110:B110"/>
    <mergeCell ref="A117:B117"/>
    <mergeCell ref="A123:B123"/>
    <mergeCell ref="A60:B60"/>
    <mergeCell ref="A69:B69"/>
    <mergeCell ref="A79:B79"/>
    <mergeCell ref="A83:B83"/>
    <mergeCell ref="A87:B87"/>
    <mergeCell ref="A93:B93"/>
    <mergeCell ref="E11:E12"/>
    <mergeCell ref="A18:B18"/>
    <mergeCell ref="A21:B21"/>
    <mergeCell ref="A28:B28"/>
    <mergeCell ref="A39:B39"/>
    <mergeCell ref="A49:A50"/>
    <mergeCell ref="B49:B50"/>
    <mergeCell ref="F11:F12"/>
    <mergeCell ref="A55:B55"/>
    <mergeCell ref="A2:F2"/>
    <mergeCell ref="A7:F7"/>
    <mergeCell ref="A11:A12"/>
    <mergeCell ref="B11:B12"/>
    <mergeCell ref="A8:F8"/>
    <mergeCell ref="C11:C12"/>
    <mergeCell ref="D11:D12"/>
    <mergeCell ref="A9:F9"/>
  </mergeCells>
  <printOptions/>
  <pageMargins left="0.3937007874015748" right="0"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2" sqref="A12"/>
    </sheetView>
  </sheetViews>
  <sheetFormatPr defaultColWidth="9.140625" defaultRowHeight="12.75"/>
  <cols>
    <col min="1" max="1" width="89.00390625" style="0" customWidth="1"/>
  </cols>
  <sheetData>
    <row r="1" ht="97.5" customHeight="1" thickBot="1">
      <c r="A1" s="101" t="s">
        <v>231</v>
      </c>
    </row>
  </sheetData>
  <sheetProtection/>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dien</dc:creator>
  <cp:keywords/>
  <dc:description/>
  <cp:lastModifiedBy>User</cp:lastModifiedBy>
  <cp:lastPrinted>2021-11-04T13:41:08Z</cp:lastPrinted>
  <dcterms:created xsi:type="dcterms:W3CDTF">2010-10-13T07:14:59Z</dcterms:created>
  <dcterms:modified xsi:type="dcterms:W3CDTF">2021-12-14T01:48:16Z</dcterms:modified>
  <cp:category/>
  <cp:version/>
  <cp:contentType/>
  <cp:contentStatus/>
</cp:coreProperties>
</file>